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D1E6558F-5967-4406-8B04-BBFB8314A85C}" xr6:coauthVersionLast="47" xr6:coauthVersionMax="47" xr10:uidLastSave="{00000000-0000-0000-0000-000000000000}"/>
  <bookViews>
    <workbookView xWindow="-108" yWindow="-108" windowWidth="23256" windowHeight="12576" tabRatio="920" xr2:uid="{00000000-000D-0000-FFFF-FFFF00000000}"/>
  </bookViews>
  <sheets>
    <sheet name="【様式第６号の２】事業報告書兼チェックシート" sheetId="11" r:id="rId1"/>
    <sheet name="【様式第６号の３】補助基準額等算定表" sheetId="21" r:id="rId2"/>
    <sheet name="【規則様式第３号】実績報告書鑑（住まいる）" sheetId="12" r:id="rId3"/>
    <sheet name="【規則様式第３号】実績報告書鑑（健康省エネ）" sheetId="22" r:id="rId4"/>
    <sheet name="要入力　交付決定状況入力シート(1)" sheetId="19" r:id="rId5"/>
    <sheet name="要入力　交付決定状況入力シート" sheetId="16" state="hidden" r:id="rId6"/>
    <sheet name="住まいる台帳コピー" sheetId="20" r:id="rId7"/>
    <sheet name="台帳コピー" sheetId="18" state="hidden" r:id="rId8"/>
    <sheet name="【様式第６号の２】（別紙）補助金併用一覧" sheetId="17" state="hidden" r:id="rId9"/>
  </sheets>
  <externalReferences>
    <externalReference r:id="rId10"/>
  </externalReferences>
  <definedNames>
    <definedName name="_xlnm.Print_Area" localSheetId="3">'【規則様式第３号】実績報告書鑑（健康省エネ）'!$A$1:$Z$36</definedName>
    <definedName name="_xlnm.Print_Area" localSheetId="2">'【規則様式第３号】実績報告書鑑（住まいる）'!$A$1:$Z$45</definedName>
    <definedName name="_xlnm.Print_Area" localSheetId="8">'【様式第６号の２】（別紙）補助金併用一覧'!$A$1:$E$33</definedName>
    <definedName name="_xlnm.Print_Area" localSheetId="0">【様式第６号の２】事業報告書兼チェックシート!$A$1:$AA$238</definedName>
    <definedName name="_xlnm.Print_Area" localSheetId="1">【様式第６号の３】補助基準額等算定表!$A$1:$K$67</definedName>
    <definedName name="_xlnm.Print_Area" localSheetId="5">'要入力　交付決定状況入力シート'!$A$1:$K$15</definedName>
  </definedNames>
  <calcPr calcId="181029"/>
</workbook>
</file>

<file path=xl/calcChain.xml><?xml version="1.0" encoding="utf-8"?>
<calcChain xmlns="http://schemas.openxmlformats.org/spreadsheetml/2006/main">
  <c r="Q2" i="22" l="1"/>
  <c r="H33" i="22"/>
  <c r="C6" i="21"/>
  <c r="C62" i="11"/>
  <c r="I6" i="21"/>
  <c r="C221" i="11"/>
  <c r="H28" i="22" s="1"/>
  <c r="C220" i="11"/>
  <c r="H27" i="22" s="1"/>
  <c r="AB192" i="11"/>
  <c r="C53" i="11"/>
  <c r="C52" i="11"/>
  <c r="Q23" i="22"/>
  <c r="H23" i="22"/>
  <c r="AA17" i="22"/>
  <c r="O12" i="22"/>
  <c r="O11" i="22"/>
  <c r="O10" i="22"/>
  <c r="P9" i="22"/>
  <c r="AA2" i="22"/>
  <c r="W2" i="22"/>
  <c r="T2" i="22"/>
  <c r="F19" i="19"/>
  <c r="AA23" i="22" l="1"/>
  <c r="D61" i="21" l="1"/>
  <c r="K52" i="21"/>
  <c r="H52" i="21"/>
  <c r="K47" i="21"/>
  <c r="J47" i="21"/>
  <c r="H47" i="21"/>
  <c r="J46" i="21"/>
  <c r="H46" i="21"/>
  <c r="K46" i="21" s="1"/>
  <c r="J45" i="21"/>
  <c r="H45" i="21"/>
  <c r="K45" i="21" s="1"/>
  <c r="J44" i="21"/>
  <c r="H44" i="21"/>
  <c r="K44" i="21" s="1"/>
  <c r="J43" i="21"/>
  <c r="H43" i="21"/>
  <c r="K43" i="21" s="1"/>
  <c r="J42" i="21"/>
  <c r="K42" i="21" s="1"/>
  <c r="H42" i="21"/>
  <c r="J41" i="21"/>
  <c r="H41" i="21"/>
  <c r="K41" i="21" s="1"/>
  <c r="J40" i="21"/>
  <c r="H40" i="21"/>
  <c r="K40" i="21" s="1"/>
  <c r="K39" i="21"/>
  <c r="J39" i="21"/>
  <c r="H39" i="21"/>
  <c r="K38" i="21"/>
  <c r="J38" i="21"/>
  <c r="H38" i="21"/>
  <c r="J37" i="21"/>
  <c r="H37" i="21"/>
  <c r="K37" i="21" s="1"/>
  <c r="J36" i="21"/>
  <c r="H36" i="21"/>
  <c r="K36" i="21" s="1"/>
  <c r="J35" i="21"/>
  <c r="H35" i="21"/>
  <c r="K35" i="21" s="1"/>
  <c r="J34" i="21"/>
  <c r="K34" i="21" s="1"/>
  <c r="H34" i="21"/>
  <c r="J33" i="21"/>
  <c r="K33" i="21" s="1"/>
  <c r="H33" i="21"/>
  <c r="J32" i="21"/>
  <c r="H32" i="21"/>
  <c r="K32" i="21" s="1"/>
  <c r="K31" i="21"/>
  <c r="J31" i="21"/>
  <c r="H31" i="21"/>
  <c r="J30" i="21"/>
  <c r="H30" i="21"/>
  <c r="K30" i="21" s="1"/>
  <c r="J29" i="21"/>
  <c r="H29" i="21"/>
  <c r="K29" i="21" s="1"/>
  <c r="J28" i="21"/>
  <c r="H28" i="21"/>
  <c r="K28" i="21" s="1"/>
  <c r="J27" i="21"/>
  <c r="H27" i="21"/>
  <c r="K27" i="21" s="1"/>
  <c r="J26" i="21"/>
  <c r="K26" i="21" s="1"/>
  <c r="H26" i="21"/>
  <c r="J25" i="21"/>
  <c r="H25" i="21"/>
  <c r="K25" i="21" s="1"/>
  <c r="J24" i="21"/>
  <c r="H24" i="21"/>
  <c r="K24" i="21" s="1"/>
  <c r="K19" i="21"/>
  <c r="J19" i="21"/>
  <c r="G19" i="21"/>
  <c r="J18" i="21"/>
  <c r="K18" i="21" s="1"/>
  <c r="G18" i="21"/>
  <c r="G17" i="21"/>
  <c r="J17" i="21" s="1"/>
  <c r="K17" i="21" s="1"/>
  <c r="J16" i="21"/>
  <c r="K16" i="21" s="1"/>
  <c r="G16" i="21"/>
  <c r="J15" i="21"/>
  <c r="K15" i="21" s="1"/>
  <c r="G15" i="21"/>
  <c r="G14" i="21"/>
  <c r="J14" i="21" s="1"/>
  <c r="K14" i="21" s="1"/>
  <c r="J13" i="21"/>
  <c r="K13" i="21" s="1"/>
  <c r="G13" i="21"/>
  <c r="J12" i="21"/>
  <c r="K12" i="21" s="1"/>
  <c r="G12" i="21"/>
  <c r="G11" i="21"/>
  <c r="J11" i="21" s="1"/>
  <c r="K11" i="21" s="1"/>
  <c r="M66" i="21"/>
  <c r="O66" i="21" s="1"/>
  <c r="GA11" i="20"/>
  <c r="GA13" i="20" s="1"/>
  <c r="FZ11" i="20"/>
  <c r="FZ13" i="20" s="1"/>
  <c r="FY11" i="20"/>
  <c r="FY13" i="20" s="1"/>
  <c r="FS11" i="20"/>
  <c r="FS13" i="20" s="1"/>
  <c r="FO11" i="20"/>
  <c r="FO13" i="20" s="1"/>
  <c r="FN11" i="20"/>
  <c r="FN13" i="20" s="1"/>
  <c r="FI11" i="20"/>
  <c r="FI13" i="20" s="1"/>
  <c r="FG11" i="20"/>
  <c r="FG13" i="20" s="1"/>
  <c r="FF11" i="20"/>
  <c r="FF13" i="20" s="1"/>
  <c r="GE13" i="20"/>
  <c r="GD13" i="20"/>
  <c r="FX13" i="20"/>
  <c r="FU13" i="20"/>
  <c r="FT13" i="20"/>
  <c r="FJ13" i="20"/>
  <c r="FH13" i="20"/>
  <c r="FC13" i="20"/>
  <c r="FB13" i="20"/>
  <c r="EZ13" i="20"/>
  <c r="EU13" i="20"/>
  <c r="ET13" i="20"/>
  <c r="ES13" i="20"/>
  <c r="ER13" i="20"/>
  <c r="EP13" i="20"/>
  <c r="EJ13" i="20"/>
  <c r="EF13" i="20"/>
  <c r="EE13" i="20"/>
  <c r="ED13" i="20"/>
  <c r="DZ13" i="20"/>
  <c r="DY13" i="20"/>
  <c r="DM13" i="20"/>
  <c r="DI13" i="20"/>
  <c r="DH13" i="20"/>
  <c r="DD13" i="20"/>
  <c r="DA13" i="20"/>
  <c r="CU13" i="20"/>
  <c r="CL13" i="20"/>
  <c r="CK13" i="20"/>
  <c r="CJ13" i="20"/>
  <c r="CH13" i="20"/>
  <c r="BS13" i="20"/>
  <c r="BR13" i="20"/>
  <c r="BP13" i="20"/>
  <c r="BO13" i="20"/>
  <c r="BN13" i="20"/>
  <c r="BK13" i="20"/>
  <c r="BJ13" i="20"/>
  <c r="BI13" i="20"/>
  <c r="BH13" i="20"/>
  <c r="BF13" i="20"/>
  <c r="BE13" i="20"/>
  <c r="BD13" i="20"/>
  <c r="BC13" i="20"/>
  <c r="BB13" i="20"/>
  <c r="BA13" i="20"/>
  <c r="AZ13" i="20"/>
  <c r="AX13" i="20"/>
  <c r="AW13" i="20"/>
  <c r="AT13" i="20"/>
  <c r="AS13" i="20"/>
  <c r="AR13" i="20"/>
  <c r="AQ13" i="20"/>
  <c r="AP13" i="20"/>
  <c r="AO13" i="20"/>
  <c r="AN13" i="20"/>
  <c r="AM13" i="20"/>
  <c r="AK13" i="20"/>
  <c r="AJ13" i="20"/>
  <c r="AG13" i="20"/>
  <c r="AF13" i="20"/>
  <c r="AC13" i="20"/>
  <c r="AB13" i="20"/>
  <c r="Z13" i="20"/>
  <c r="Y13" i="20"/>
  <c r="X13" i="20"/>
  <c r="V13" i="20"/>
  <c r="U13" i="20"/>
  <c r="T13" i="20"/>
  <c r="S13" i="20"/>
  <c r="R13" i="20"/>
  <c r="Q13" i="20"/>
  <c r="P13" i="20"/>
  <c r="O13" i="20"/>
  <c r="K13" i="20"/>
  <c r="G13" i="20"/>
  <c r="E13" i="20"/>
  <c r="D13" i="20"/>
  <c r="GL11" i="20"/>
  <c r="GL13" i="20" s="1"/>
  <c r="FA13" i="20"/>
  <c r="EY13" i="20"/>
  <c r="EX13" i="20"/>
  <c r="EQ13" i="20"/>
  <c r="EM13" i="20"/>
  <c r="EK13" i="20"/>
  <c r="EH13" i="20"/>
  <c r="EG13" i="20"/>
  <c r="EC13" i="20"/>
  <c r="DX13" i="20"/>
  <c r="DV13" i="20"/>
  <c r="DU13" i="20"/>
  <c r="DT13" i="20"/>
  <c r="DL13" i="20"/>
  <c r="DK13" i="20"/>
  <c r="DG13" i="20"/>
  <c r="DF13" i="20"/>
  <c r="DC13" i="20"/>
  <c r="DB13" i="20"/>
  <c r="BS11" i="20"/>
  <c r="BM11" i="20"/>
  <c r="BQ11" i="20" s="1"/>
  <c r="BQ13" i="20" s="1"/>
  <c r="BH11" i="20"/>
  <c r="BD11" i="20"/>
  <c r="BC11" i="20"/>
  <c r="BL11" i="20" s="1"/>
  <c r="BL13" i="20" s="1"/>
  <c r="AV11" i="20"/>
  <c r="AV13" i="20" s="1"/>
  <c r="AU11" i="20"/>
  <c r="AU13" i="20" s="1"/>
  <c r="AM11" i="20"/>
  <c r="AI11" i="20"/>
  <c r="AI13" i="20" s="1"/>
  <c r="AE11" i="20"/>
  <c r="AE13" i="20" s="1"/>
  <c r="AB11" i="20"/>
  <c r="Z11" i="20"/>
  <c r="X11" i="20"/>
  <c r="U11" i="20"/>
  <c r="T11" i="20"/>
  <c r="R11" i="20"/>
  <c r="Q11" i="20"/>
  <c r="W11" i="20" s="1"/>
  <c r="W13" i="20" s="1"/>
  <c r="E11" i="20"/>
  <c r="B11" i="20"/>
  <c r="B13" i="20" s="1"/>
  <c r="GM10" i="20"/>
  <c r="GL10" i="20"/>
  <c r="GN10" i="20" s="1"/>
  <c r="GG10" i="20"/>
  <c r="GF10" i="20"/>
  <c r="FX10" i="20"/>
  <c r="FR10" i="20"/>
  <c r="FM10" i="20"/>
  <c r="FK10" i="20"/>
  <c r="FV10" i="20" s="1"/>
  <c r="FD10" i="20"/>
  <c r="EW10" i="20"/>
  <c r="EV10" i="20"/>
  <c r="EN10" i="20"/>
  <c r="EI10" i="20"/>
  <c r="ED10" i="20"/>
  <c r="DX10" i="20"/>
  <c r="DW10" i="20"/>
  <c r="DU10" i="20"/>
  <c r="DS10" i="20"/>
  <c r="DT10" i="20" s="1"/>
  <c r="DO10" i="20"/>
  <c r="DL10" i="20"/>
  <c r="DG10" i="20"/>
  <c r="DE10" i="20"/>
  <c r="EL10" i="20" s="1"/>
  <c r="BS10" i="20"/>
  <c r="BM10" i="20"/>
  <c r="BH10" i="20"/>
  <c r="BD10" i="20"/>
  <c r="BC10" i="20"/>
  <c r="BG10" i="20" s="1"/>
  <c r="FQ10" i="20" s="1"/>
  <c r="AY10" i="20"/>
  <c r="CG10" i="20" s="1"/>
  <c r="AU10" i="20"/>
  <c r="AM10" i="20" s="1"/>
  <c r="AI10" i="20"/>
  <c r="AE10" i="20"/>
  <c r="AH10" i="20" s="1"/>
  <c r="AB10" i="20"/>
  <c r="Z10" i="20"/>
  <c r="X10" i="20"/>
  <c r="W10" i="20"/>
  <c r="U10" i="20"/>
  <c r="T10" i="20"/>
  <c r="R10" i="20"/>
  <c r="Q10" i="20"/>
  <c r="AL10" i="20" s="1"/>
  <c r="EM10" i="20" s="1"/>
  <c r="E10" i="20"/>
  <c r="B10" i="20"/>
  <c r="GG9" i="20"/>
  <c r="GF9" i="20"/>
  <c r="FX9" i="20"/>
  <c r="GB9" i="20" s="1"/>
  <c r="FR9" i="20"/>
  <c r="FV9" i="20" s="1"/>
  <c r="FM9" i="20"/>
  <c r="FL9" i="20"/>
  <c r="FK9" i="20"/>
  <c r="FP9" i="20" s="1"/>
  <c r="EW9" i="20"/>
  <c r="EV9" i="20"/>
  <c r="EN9" i="20"/>
  <c r="EI9" i="20"/>
  <c r="ED9" i="20"/>
  <c r="DX9" i="20"/>
  <c r="DU9" i="20"/>
  <c r="DO9" i="20"/>
  <c r="DL9" i="20"/>
  <c r="DG9" i="20"/>
  <c r="DE9" i="20"/>
  <c r="DW9" i="20" s="1"/>
  <c r="BS9" i="20"/>
  <c r="BM9" i="20"/>
  <c r="BQ9" i="20" s="1"/>
  <c r="GC9" i="20" s="1"/>
  <c r="BH9" i="20"/>
  <c r="BD9" i="20"/>
  <c r="BC9" i="20"/>
  <c r="BL9" i="20" s="1"/>
  <c r="FW9" i="20" s="1"/>
  <c r="AV9" i="20"/>
  <c r="EX9" i="20" s="1"/>
  <c r="AU9" i="20"/>
  <c r="AM9" i="20"/>
  <c r="AI9" i="20"/>
  <c r="AE9" i="20"/>
  <c r="AH9" i="20" s="1"/>
  <c r="AB9" i="20"/>
  <c r="Z9" i="20"/>
  <c r="X9" i="20"/>
  <c r="U9" i="20"/>
  <c r="T9" i="20"/>
  <c r="R9" i="20"/>
  <c r="Q9" i="20"/>
  <c r="W9" i="20" s="1"/>
  <c r="E9" i="20"/>
  <c r="B9" i="20"/>
  <c r="GM8" i="20"/>
  <c r="GL8" i="20"/>
  <c r="GN8" i="20" s="1"/>
  <c r="GG8" i="20"/>
  <c r="GF8" i="20"/>
  <c r="FX8" i="20"/>
  <c r="FR8" i="20"/>
  <c r="FM8" i="20"/>
  <c r="FK8" i="20"/>
  <c r="FV8" i="20" s="1"/>
  <c r="FD8" i="20"/>
  <c r="EW8" i="20"/>
  <c r="EV8" i="20"/>
  <c r="EN8" i="20"/>
  <c r="EI8" i="20"/>
  <c r="ED8" i="20"/>
  <c r="DX8" i="20"/>
  <c r="DW8" i="20"/>
  <c r="DU8" i="20"/>
  <c r="DS8" i="20"/>
  <c r="DT8" i="20" s="1"/>
  <c r="DO8" i="20"/>
  <c r="DL8" i="20"/>
  <c r="DG8" i="20"/>
  <c r="DE8" i="20"/>
  <c r="EL8" i="20" s="1"/>
  <c r="BS8" i="20"/>
  <c r="BM8" i="20"/>
  <c r="BH8" i="20"/>
  <c r="BD8" i="20"/>
  <c r="BC8" i="20"/>
  <c r="BG8" i="20" s="1"/>
  <c r="FQ8" i="20" s="1"/>
  <c r="AU8" i="20"/>
  <c r="AM8" i="20" s="1"/>
  <c r="AI8" i="20"/>
  <c r="AE8" i="20"/>
  <c r="AH8" i="20" s="1"/>
  <c r="AB8" i="20"/>
  <c r="Z8" i="20"/>
  <c r="X8" i="20"/>
  <c r="W8" i="20"/>
  <c r="U8" i="20"/>
  <c r="T8" i="20"/>
  <c r="R8" i="20"/>
  <c r="Q8" i="20"/>
  <c r="AL8" i="20" s="1"/>
  <c r="EM8" i="20" s="1"/>
  <c r="E8" i="20"/>
  <c r="B8" i="20"/>
  <c r="FX7" i="20"/>
  <c r="GB7" i="20" s="1"/>
  <c r="FR7" i="20"/>
  <c r="FV7" i="20" s="1"/>
  <c r="FM7" i="20"/>
  <c r="FL7" i="20"/>
  <c r="FK7" i="20"/>
  <c r="FP7" i="20" s="1"/>
  <c r="FD7" i="20"/>
  <c r="EW7" i="20"/>
  <c r="EV7" i="20"/>
  <c r="EN7" i="20"/>
  <c r="EI7" i="20"/>
  <c r="ED7" i="20"/>
  <c r="DX7" i="20"/>
  <c r="DU7" i="20"/>
  <c r="DO7" i="20"/>
  <c r="DL7" i="20"/>
  <c r="DG7" i="20"/>
  <c r="DE7" i="20"/>
  <c r="EL7" i="20" s="1"/>
  <c r="BM7" i="20"/>
  <c r="BQ7" i="20" s="1"/>
  <c r="BH7" i="20"/>
  <c r="BD7" i="20"/>
  <c r="BC7" i="20"/>
  <c r="BL7" i="20" s="1"/>
  <c r="FW7" i="20" s="1"/>
  <c r="AY7" i="20"/>
  <c r="FE7" i="20" s="1"/>
  <c r="AV7" i="20"/>
  <c r="EX7" i="20" s="1"/>
  <c r="AU7" i="20"/>
  <c r="AM7" i="20"/>
  <c r="AI7" i="20"/>
  <c r="AE7" i="20"/>
  <c r="AL7" i="20" s="1"/>
  <c r="AB7" i="20"/>
  <c r="Z7" i="20"/>
  <c r="X7" i="20"/>
  <c r="U7" i="20"/>
  <c r="R7" i="20"/>
  <c r="Q7" i="20"/>
  <c r="W7" i="20" s="1"/>
  <c r="E7" i="20"/>
  <c r="B7" i="20"/>
  <c r="GG6" i="20"/>
  <c r="GF6" i="20"/>
  <c r="FX6" i="20"/>
  <c r="FR6" i="20"/>
  <c r="FM6" i="20"/>
  <c r="FK6" i="20"/>
  <c r="FV6" i="20" s="1"/>
  <c r="EW6" i="20"/>
  <c r="EV6" i="20"/>
  <c r="EN6" i="20"/>
  <c r="EI6" i="20"/>
  <c r="ED6" i="20"/>
  <c r="DX6" i="20"/>
  <c r="DW6" i="20"/>
  <c r="DU6" i="20"/>
  <c r="DS6" i="20"/>
  <c r="DT6" i="20" s="1"/>
  <c r="DO6" i="20"/>
  <c r="DL6" i="20"/>
  <c r="DG6" i="20"/>
  <c r="DE6" i="20"/>
  <c r="EL6" i="20" s="1"/>
  <c r="BS6" i="20"/>
  <c r="BM6" i="20"/>
  <c r="BH6" i="20"/>
  <c r="BD6" i="20"/>
  <c r="BC6" i="20"/>
  <c r="BQ6" i="20" s="1"/>
  <c r="AU6" i="20"/>
  <c r="AM6" i="20" s="1"/>
  <c r="AI6" i="20"/>
  <c r="AE6" i="20"/>
  <c r="AH6" i="20" s="1"/>
  <c r="AB6" i="20"/>
  <c r="Z6" i="20"/>
  <c r="X6" i="20"/>
  <c r="W6" i="20"/>
  <c r="U6" i="20"/>
  <c r="T6" i="20"/>
  <c r="R6" i="20"/>
  <c r="Q6" i="20"/>
  <c r="AL6" i="20" s="1"/>
  <c r="EM6" i="20" s="1"/>
  <c r="E6" i="20"/>
  <c r="B6" i="20"/>
  <c r="FE10" i="20" l="1"/>
  <c r="D54" i="21"/>
  <c r="D63" i="21" s="1"/>
  <c r="FM11" i="20"/>
  <c r="DK8" i="20"/>
  <c r="DK6" i="20"/>
  <c r="DT7" i="20"/>
  <c r="EW13" i="20"/>
  <c r="EV13" i="20"/>
  <c r="EN13" i="20"/>
  <c r="DK10" i="20"/>
  <c r="EM7" i="20"/>
  <c r="GC7" i="20"/>
  <c r="AH7" i="20"/>
  <c r="EG7" i="20"/>
  <c r="EG9" i="20"/>
  <c r="EH9" i="20" s="1"/>
  <c r="AH11" i="20"/>
  <c r="AH13" i="20" s="1"/>
  <c r="GB6" i="20"/>
  <c r="GC6" i="20" s="1"/>
  <c r="EA7" i="20"/>
  <c r="EB7" i="20" s="1"/>
  <c r="GB8" i="20"/>
  <c r="EA9" i="20"/>
  <c r="EB9" i="20" s="1"/>
  <c r="GB10" i="20"/>
  <c r="BM13" i="20"/>
  <c r="EO13" i="20"/>
  <c r="AV6" i="20"/>
  <c r="EX6" i="20" s="1"/>
  <c r="AV8" i="20"/>
  <c r="EX8" i="20" s="1"/>
  <c r="AV10" i="20"/>
  <c r="EX10" i="20" s="1"/>
  <c r="EI13" i="20"/>
  <c r="AD7" i="20"/>
  <c r="AA7" i="20" s="1"/>
  <c r="AD9" i="20"/>
  <c r="AA9" i="20" s="1"/>
  <c r="AD11" i="20"/>
  <c r="AL11" i="20"/>
  <c r="AL13" i="20" s="1"/>
  <c r="DJ9" i="20"/>
  <c r="DK9" i="20" s="1"/>
  <c r="BL10" i="20"/>
  <c r="FW10" i="20" s="1"/>
  <c r="EA6" i="20"/>
  <c r="EB6" i="20" s="1"/>
  <c r="FL6" i="20"/>
  <c r="EA8" i="20"/>
  <c r="EB8" i="20" s="1"/>
  <c r="FL8" i="20"/>
  <c r="EA10" i="20"/>
  <c r="EB10" i="20" s="1"/>
  <c r="FL10" i="20"/>
  <c r="AL9" i="20"/>
  <c r="EM9" i="20" s="1"/>
  <c r="EL9" i="20"/>
  <c r="BQ8" i="20"/>
  <c r="BQ10" i="20"/>
  <c r="AD6" i="20"/>
  <c r="AA6" i="20" s="1"/>
  <c r="FP6" i="20"/>
  <c r="AD8" i="20"/>
  <c r="AA8" i="20" s="1"/>
  <c r="AY8" i="20" s="1"/>
  <c r="FP8" i="20"/>
  <c r="AY9" i="20"/>
  <c r="AD10" i="20"/>
  <c r="AA10" i="20" s="1"/>
  <c r="FP10" i="20"/>
  <c r="DF9" i="20"/>
  <c r="BL8" i="20"/>
  <c r="FW8" i="20" s="1"/>
  <c r="DS9" i="20"/>
  <c r="DT9" i="20" s="1"/>
  <c r="DF7" i="20"/>
  <c r="T7" i="20"/>
  <c r="DS7" i="20"/>
  <c r="EG8" i="20"/>
  <c r="EH8" i="20" s="1"/>
  <c r="DF6" i="20"/>
  <c r="BG7" i="20"/>
  <c r="FQ7" i="20" s="1"/>
  <c r="GF7" i="20" s="1"/>
  <c r="GM7" i="20" s="1"/>
  <c r="DF8" i="20"/>
  <c r="BG9" i="20"/>
  <c r="FQ9" i="20" s="1"/>
  <c r="DF10" i="20"/>
  <c r="BG11" i="20"/>
  <c r="BG13" i="20" s="1"/>
  <c r="BG6" i="20"/>
  <c r="FQ6" i="20" s="1"/>
  <c r="BL6" i="20"/>
  <c r="FW6" i="20" s="1"/>
  <c r="DJ7" i="20"/>
  <c r="EG10" i="20"/>
  <c r="EH10" i="20" s="1"/>
  <c r="DW7" i="20"/>
  <c r="EG6" i="20"/>
  <c r="EH6" i="20" s="1"/>
  <c r="DJ6" i="20"/>
  <c r="DJ8" i="20"/>
  <c r="DJ10" i="20"/>
  <c r="D66" i="21" l="1"/>
  <c r="G19" i="19"/>
  <c r="H24" i="22" s="1"/>
  <c r="H25" i="22" s="1"/>
  <c r="CG8" i="20"/>
  <c r="FE8" i="20"/>
  <c r="EC10" i="20"/>
  <c r="EC6" i="20"/>
  <c r="GC10" i="20"/>
  <c r="FD13" i="20"/>
  <c r="FE13" i="20"/>
  <c r="GM11" i="20"/>
  <c r="GL9" i="20"/>
  <c r="CG9" i="20"/>
  <c r="FD9" i="20" s="1"/>
  <c r="AD13" i="20"/>
  <c r="AA11" i="20"/>
  <c r="DK7" i="20"/>
  <c r="EC7" i="20"/>
  <c r="EC8" i="20"/>
  <c r="EC9" i="20"/>
  <c r="BS7" i="20"/>
  <c r="AY6" i="20"/>
  <c r="EL13" i="20"/>
  <c r="DJ13" i="20"/>
  <c r="DE13" i="20"/>
  <c r="DS13" i="20"/>
  <c r="DW13" i="20"/>
  <c r="EH7" i="20"/>
  <c r="GC8" i="20"/>
  <c r="H19" i="19" l="1"/>
  <c r="J19" i="19" s="1"/>
  <c r="T192" i="11"/>
  <c r="GM9" i="20"/>
  <c r="FE9" i="20"/>
  <c r="AA13" i="20"/>
  <c r="AY11" i="20"/>
  <c r="EB13" i="20"/>
  <c r="EA13" i="20"/>
  <c r="GN9" i="20"/>
  <c r="GM13" i="20"/>
  <c r="GN11" i="20"/>
  <c r="GN13" i="20" s="1"/>
  <c r="CG6" i="20"/>
  <c r="FD6" i="20" s="1"/>
  <c r="GM6" i="20" s="1"/>
  <c r="GL6" i="20"/>
  <c r="GL7" i="20"/>
  <c r="GN7" i="20" s="1"/>
  <c r="GG7" i="20"/>
  <c r="CG7" i="20"/>
  <c r="D226" i="11" l="1"/>
  <c r="H34" i="22" s="1"/>
  <c r="D225" i="11"/>
  <c r="D224" i="11"/>
  <c r="Q24" i="22"/>
  <c r="Q25" i="22" s="1"/>
  <c r="GN6" i="20"/>
  <c r="FE6" i="20"/>
  <c r="CG11" i="20"/>
  <c r="CG13" i="20" s="1"/>
  <c r="AY13" i="20"/>
  <c r="F12" i="19" l="1"/>
  <c r="D9" i="19"/>
  <c r="Q23" i="12" s="1"/>
  <c r="C9" i="19"/>
  <c r="H23" i="12" s="1"/>
  <c r="C215" i="11"/>
  <c r="FX11" i="18"/>
  <c r="FW11" i="18"/>
  <c r="FV11" i="18"/>
  <c r="FD11" i="18" l="1"/>
  <c r="FF11" i="18"/>
  <c r="FC11" i="18" l="1"/>
  <c r="FH11" i="18"/>
  <c r="FI11" i="18"/>
  <c r="FN11" i="18"/>
  <c r="FT11" i="18"/>
  <c r="FU11" i="18"/>
  <c r="FZ11" i="18"/>
  <c r="GA11" i="18"/>
  <c r="GC11" i="18" l="1"/>
  <c r="FY11" i="18"/>
  <c r="AY13" i="18"/>
  <c r="GJ11" i="18" l="1"/>
  <c r="D60" i="11"/>
  <c r="D37" i="11" l="1"/>
  <c r="EW13" i="18" l="1"/>
  <c r="D9" i="16" l="1"/>
  <c r="GA13" i="18"/>
  <c r="FX13" i="18"/>
  <c r="FW13" i="18"/>
  <c r="FE13" i="18"/>
  <c r="FC13" i="18"/>
  <c r="W2" i="12"/>
  <c r="T2" i="12"/>
  <c r="Q2" i="12"/>
  <c r="GB13" i="18"/>
  <c r="FG13" i="18"/>
  <c r="EZ13" i="18"/>
  <c r="EY13" i="18"/>
  <c r="EX13" i="18"/>
  <c r="EC13" i="18"/>
  <c r="DW13" i="18"/>
  <c r="DU13" i="18"/>
  <c r="DO13" i="18"/>
  <c r="DJ13" i="18"/>
  <c r="DE13" i="18"/>
  <c r="CV13" i="18"/>
  <c r="CM13" i="18"/>
  <c r="CL13" i="18"/>
  <c r="CK13" i="18"/>
  <c r="CI13" i="18"/>
  <c r="BS13" i="18"/>
  <c r="BQ13" i="18"/>
  <c r="BP13" i="18"/>
  <c r="BO13" i="18"/>
  <c r="BL13" i="18"/>
  <c r="BK13" i="18"/>
  <c r="BJ13" i="18"/>
  <c r="BG13" i="18"/>
  <c r="BF13" i="18"/>
  <c r="BE13" i="18"/>
  <c r="BC13" i="18"/>
  <c r="BB13" i="18"/>
  <c r="BA13" i="18"/>
  <c r="AX13" i="18"/>
  <c r="AW13" i="18"/>
  <c r="AT13" i="18"/>
  <c r="AS13" i="18"/>
  <c r="AR13" i="18"/>
  <c r="AQ13" i="18"/>
  <c r="AP13" i="18"/>
  <c r="AO13" i="18"/>
  <c r="AN13" i="18"/>
  <c r="AK13" i="18"/>
  <c r="AJ13" i="18"/>
  <c r="AG13" i="18"/>
  <c r="AF13" i="18"/>
  <c r="AC13" i="18"/>
  <c r="Y13" i="18"/>
  <c r="X13" i="18"/>
  <c r="V13" i="18"/>
  <c r="S13" i="18"/>
  <c r="P13" i="18"/>
  <c r="O13" i="18"/>
  <c r="K13" i="18"/>
  <c r="DB13" i="18"/>
  <c r="G13" i="18"/>
  <c r="D13" i="18"/>
  <c r="EV13" i="18"/>
  <c r="EU13" i="18"/>
  <c r="ER13" i="18"/>
  <c r="EQ13" i="18"/>
  <c r="EP13" i="18"/>
  <c r="EO13" i="18"/>
  <c r="EN13" i="18"/>
  <c r="EM13" i="18"/>
  <c r="EJ13" i="18"/>
  <c r="EG13" i="18"/>
  <c r="EE13" i="18"/>
  <c r="EB13" i="18"/>
  <c r="EA13" i="18"/>
  <c r="DZ13" i="18"/>
  <c r="DV13" i="18"/>
  <c r="DS13" i="18"/>
  <c r="DR13" i="18"/>
  <c r="DQ13" i="18"/>
  <c r="DM13" i="18"/>
  <c r="DL13" i="18"/>
  <c r="DI13" i="18"/>
  <c r="DH13" i="18"/>
  <c r="DD13" i="18"/>
  <c r="DC13" i="18"/>
  <c r="BT13" i="18"/>
  <c r="BI13" i="18"/>
  <c r="BD13" i="18"/>
  <c r="AU13" i="18"/>
  <c r="AM13" i="18"/>
  <c r="AI13" i="18"/>
  <c r="AE13" i="18"/>
  <c r="AD13" i="18"/>
  <c r="AB13" i="18"/>
  <c r="Z13" i="18"/>
  <c r="W13" i="18"/>
  <c r="U13" i="18"/>
  <c r="T13" i="18"/>
  <c r="R13" i="18"/>
  <c r="Q13" i="18"/>
  <c r="E11" i="18"/>
  <c r="E13" i="18" s="1"/>
  <c r="B11" i="18"/>
  <c r="B13" i="18" s="1"/>
  <c r="GJ10" i="18"/>
  <c r="GI10" i="18"/>
  <c r="GC10" i="18"/>
  <c r="FU10" i="18"/>
  <c r="FO10" i="18"/>
  <c r="FJ10" i="18"/>
  <c r="FH10" i="18"/>
  <c r="FA10" i="18"/>
  <c r="ES10" i="18"/>
  <c r="EK10" i="18" s="1"/>
  <c r="EF10" i="18"/>
  <c r="EA10" i="18"/>
  <c r="DU10" i="18"/>
  <c r="DR10" i="18"/>
  <c r="DM10" i="18"/>
  <c r="DH10" i="18"/>
  <c r="DF10" i="18"/>
  <c r="DT10" i="18" s="1"/>
  <c r="BT10" i="18"/>
  <c r="BN10" i="18"/>
  <c r="BI10" i="18"/>
  <c r="BE10" i="18"/>
  <c r="BD10" i="18"/>
  <c r="AZ10" i="18"/>
  <c r="AU10" i="18"/>
  <c r="AM10" i="18" s="1"/>
  <c r="AI10" i="18"/>
  <c r="AE10" i="18"/>
  <c r="AB10" i="18"/>
  <c r="Z10" i="18"/>
  <c r="X10" i="18"/>
  <c r="U10" i="18"/>
  <c r="R10" i="18"/>
  <c r="Q10" i="18"/>
  <c r="DG10" i="18" s="1"/>
  <c r="E10" i="18"/>
  <c r="B10" i="18"/>
  <c r="GC9" i="18"/>
  <c r="FU9" i="18"/>
  <c r="FO9" i="18"/>
  <c r="FJ9" i="18"/>
  <c r="FH9" i="18"/>
  <c r="ES9" i="18"/>
  <c r="ET9" i="18" s="1"/>
  <c r="EF9" i="18"/>
  <c r="EA9" i="18"/>
  <c r="DU9" i="18"/>
  <c r="DR9" i="18"/>
  <c r="DM9" i="18"/>
  <c r="DH9" i="18"/>
  <c r="DF9" i="18"/>
  <c r="DP9" i="18" s="1"/>
  <c r="BT9" i="18"/>
  <c r="GD9" i="18" s="1"/>
  <c r="BN9" i="18"/>
  <c r="BI9" i="18"/>
  <c r="BE9" i="18"/>
  <c r="BD9" i="18"/>
  <c r="AU9" i="18"/>
  <c r="AV9" i="18" s="1"/>
  <c r="AI9" i="18"/>
  <c r="AE9" i="18"/>
  <c r="AB9" i="18"/>
  <c r="Z9" i="18"/>
  <c r="X9" i="18"/>
  <c r="U9" i="18"/>
  <c r="R9" i="18"/>
  <c r="Q9" i="18"/>
  <c r="E9" i="18"/>
  <c r="B9" i="18"/>
  <c r="GJ8" i="18"/>
  <c r="GI8" i="18"/>
  <c r="GC8" i="18"/>
  <c r="FU8" i="18"/>
  <c r="FO8" i="18"/>
  <c r="FJ8" i="18"/>
  <c r="FH8" i="18"/>
  <c r="FA8" i="18"/>
  <c r="ES8" i="18"/>
  <c r="EK8" i="18" s="1"/>
  <c r="EF8" i="18"/>
  <c r="EA8" i="18"/>
  <c r="DU8" i="18"/>
  <c r="DR8" i="18"/>
  <c r="DM8" i="18"/>
  <c r="DH8" i="18"/>
  <c r="DF8" i="18"/>
  <c r="BT8" i="18"/>
  <c r="BN8" i="18"/>
  <c r="BI8" i="18"/>
  <c r="BE8" i="18"/>
  <c r="BD8" i="18"/>
  <c r="AU8" i="18"/>
  <c r="AV8" i="18" s="1"/>
  <c r="AI8" i="18"/>
  <c r="AL8" i="18" s="1"/>
  <c r="AE8" i="18"/>
  <c r="AB8" i="18"/>
  <c r="Z8" i="18"/>
  <c r="X8" i="18"/>
  <c r="U8" i="18"/>
  <c r="R8" i="18"/>
  <c r="Q8" i="18"/>
  <c r="AH8" i="18" s="1"/>
  <c r="E8" i="18"/>
  <c r="B8" i="18"/>
  <c r="FU7" i="18"/>
  <c r="FO7" i="18"/>
  <c r="FJ7" i="18"/>
  <c r="FH7" i="18"/>
  <c r="FM7" i="18" s="1"/>
  <c r="FA7" i="18"/>
  <c r="ES7" i="18"/>
  <c r="ET7" i="18" s="1"/>
  <c r="EF7" i="18"/>
  <c r="EA7" i="18"/>
  <c r="DU7" i="18"/>
  <c r="DR7" i="18"/>
  <c r="DM7" i="18"/>
  <c r="DH7" i="18"/>
  <c r="DF7" i="18"/>
  <c r="DP7" i="18" s="1"/>
  <c r="BN7" i="18"/>
  <c r="BI7" i="18"/>
  <c r="BE7" i="18"/>
  <c r="BD7" i="18"/>
  <c r="AZ7" i="18"/>
  <c r="AU7" i="18"/>
  <c r="AV7" i="18" s="1"/>
  <c r="AM7" i="18"/>
  <c r="AI7" i="18"/>
  <c r="AE7" i="18"/>
  <c r="AB7" i="18"/>
  <c r="Z7" i="18"/>
  <c r="X7" i="18"/>
  <c r="U7" i="18"/>
  <c r="R7" i="18"/>
  <c r="Q7" i="18"/>
  <c r="AD7" i="18" s="1"/>
  <c r="E7" i="18"/>
  <c r="B7" i="18"/>
  <c r="GC6" i="18"/>
  <c r="FU6" i="18"/>
  <c r="FO6" i="18"/>
  <c r="FJ6" i="18"/>
  <c r="FH6" i="18"/>
  <c r="ES6" i="18"/>
  <c r="ET6" i="18" s="1"/>
  <c r="EK6" i="18"/>
  <c r="EF6" i="18"/>
  <c r="EA6" i="18"/>
  <c r="DU6" i="18"/>
  <c r="DR6" i="18"/>
  <c r="DM6" i="18"/>
  <c r="DH6" i="18"/>
  <c r="DF6" i="18"/>
  <c r="DK6" i="18" s="1"/>
  <c r="BT6" i="18"/>
  <c r="BN6" i="18"/>
  <c r="BI6" i="18"/>
  <c r="BE6" i="18"/>
  <c r="BD6" i="18"/>
  <c r="FI6" i="18" s="1"/>
  <c r="AU6" i="18"/>
  <c r="AV6" i="18" s="1"/>
  <c r="AI6" i="18"/>
  <c r="AE6" i="18"/>
  <c r="AB6" i="18"/>
  <c r="Z6" i="18"/>
  <c r="X6" i="18"/>
  <c r="U6" i="18"/>
  <c r="R6" i="18"/>
  <c r="Q6" i="18"/>
  <c r="E6" i="18"/>
  <c r="B6" i="18"/>
  <c r="FB10" i="18" l="1"/>
  <c r="FS8" i="18"/>
  <c r="FI9" i="18"/>
  <c r="FY8" i="18"/>
  <c r="FY9" i="18"/>
  <c r="FS7" i="18"/>
  <c r="BR8" i="18"/>
  <c r="FZ8" i="18" s="1"/>
  <c r="FI8" i="18"/>
  <c r="GD10" i="18"/>
  <c r="BR6" i="18"/>
  <c r="DG6" i="18"/>
  <c r="EI6" i="18"/>
  <c r="FY6" i="18"/>
  <c r="FZ6" i="18" s="1"/>
  <c r="DX6" i="18"/>
  <c r="ET8" i="18"/>
  <c r="EU8" i="18" s="1"/>
  <c r="EK9" i="18"/>
  <c r="AH10" i="18"/>
  <c r="EI10" i="18"/>
  <c r="GI11" i="18"/>
  <c r="GK11" i="18" s="1"/>
  <c r="GD11" i="18"/>
  <c r="DP6" i="18"/>
  <c r="FM8" i="18"/>
  <c r="BM10" i="18"/>
  <c r="FT10" i="18" s="1"/>
  <c r="T7" i="18"/>
  <c r="DL7" i="18" s="1"/>
  <c r="DG9" i="18"/>
  <c r="BR10" i="18"/>
  <c r="FS10" i="18"/>
  <c r="EU7" i="18"/>
  <c r="BR9" i="18"/>
  <c r="FZ9" i="18" s="1"/>
  <c r="W6" i="18"/>
  <c r="DQ6" i="18" s="1"/>
  <c r="AD6" i="18"/>
  <c r="AA6" i="18" s="1"/>
  <c r="GD6" i="18"/>
  <c r="W8" i="18"/>
  <c r="AD8" i="18"/>
  <c r="AA8" i="18" s="1"/>
  <c r="W9" i="18"/>
  <c r="DQ9" i="18" s="1"/>
  <c r="AH9" i="18"/>
  <c r="EE9" i="18" s="1"/>
  <c r="AV10" i="18"/>
  <c r="AL6" i="18"/>
  <c r="EJ6" i="18" s="1"/>
  <c r="DT6" i="18"/>
  <c r="ED6" i="18"/>
  <c r="ED7" i="18"/>
  <c r="FY7" i="18"/>
  <c r="GD8" i="18"/>
  <c r="BH9" i="18"/>
  <c r="FN9" i="18" s="1"/>
  <c r="ED9" i="18"/>
  <c r="FS9" i="18"/>
  <c r="AL10" i="18"/>
  <c r="EJ10" i="18" s="1"/>
  <c r="ET10" i="18"/>
  <c r="T6" i="18"/>
  <c r="DL6" i="18" s="1"/>
  <c r="FM6" i="18"/>
  <c r="AA7" i="18"/>
  <c r="T8" i="18"/>
  <c r="AZ8" i="18" s="1"/>
  <c r="BH8" i="18"/>
  <c r="FN8" i="18" s="1"/>
  <c r="ED8" i="18"/>
  <c r="T9" i="18"/>
  <c r="EU9" i="18"/>
  <c r="DT9" i="18"/>
  <c r="EI9" i="18"/>
  <c r="BH10" i="18"/>
  <c r="FN10" i="18" s="1"/>
  <c r="FY10" i="18"/>
  <c r="EU6" i="18"/>
  <c r="GK10" i="18"/>
  <c r="FB7" i="18"/>
  <c r="GK8" i="18"/>
  <c r="FV13" i="18"/>
  <c r="FU13" i="18"/>
  <c r="FF13" i="18"/>
  <c r="EF13" i="18"/>
  <c r="FD13" i="18"/>
  <c r="BR13" i="18"/>
  <c r="FA13" i="18"/>
  <c r="FB13" i="18"/>
  <c r="EE8" i="18"/>
  <c r="ET13" i="18"/>
  <c r="EK13" i="18"/>
  <c r="ES13" i="18"/>
  <c r="BM13" i="18"/>
  <c r="AH7" i="18"/>
  <c r="EE7" i="18" s="1"/>
  <c r="DG8" i="18"/>
  <c r="DT8" i="18"/>
  <c r="AL9" i="18"/>
  <c r="DK10" i="18"/>
  <c r="DX10" i="18"/>
  <c r="DY10" i="18" s="1"/>
  <c r="FI10" i="18"/>
  <c r="AA13" i="18"/>
  <c r="BN13" i="18"/>
  <c r="DN13" i="18"/>
  <c r="EL13" i="18"/>
  <c r="AH6" i="18"/>
  <c r="EE6" i="18" s="1"/>
  <c r="FS6" i="18"/>
  <c r="W7" i="18"/>
  <c r="DQ7" i="18" s="1"/>
  <c r="BH7" i="18"/>
  <c r="FN7" i="18" s="1"/>
  <c r="DG7" i="18"/>
  <c r="DT7" i="18"/>
  <c r="EI8" i="18"/>
  <c r="EJ8" i="18" s="1"/>
  <c r="AM9" i="18"/>
  <c r="BM9" i="18"/>
  <c r="FT9" i="18" s="1"/>
  <c r="DK9" i="18"/>
  <c r="DL9" i="18" s="1"/>
  <c r="DX9" i="18"/>
  <c r="DY9" i="18" s="1"/>
  <c r="AV13" i="18"/>
  <c r="DG13" i="18"/>
  <c r="BH6" i="18"/>
  <c r="FN6" i="18" s="1"/>
  <c r="AL7" i="18"/>
  <c r="EI7" i="18"/>
  <c r="AM8" i="18"/>
  <c r="BM8" i="18"/>
  <c r="FT8" i="18" s="1"/>
  <c r="DK8" i="18"/>
  <c r="DL8" i="18" s="1"/>
  <c r="DX8" i="18"/>
  <c r="FM10" i="18"/>
  <c r="BH13" i="18"/>
  <c r="BM7" i="18"/>
  <c r="DK7" i="18"/>
  <c r="DX7" i="18"/>
  <c r="FI7" i="18"/>
  <c r="FM9" i="18"/>
  <c r="AD10" i="18"/>
  <c r="AA10" i="18" s="1"/>
  <c r="DP10" i="18"/>
  <c r="AM6" i="18"/>
  <c r="BM6" i="18"/>
  <c r="EK7" i="18"/>
  <c r="AD9" i="18"/>
  <c r="AA9" i="18" s="1"/>
  <c r="T10" i="18"/>
  <c r="DL10" i="18" s="1"/>
  <c r="CH10" i="18"/>
  <c r="ED10" i="18"/>
  <c r="EE10" i="18" s="1"/>
  <c r="AH13" i="18"/>
  <c r="EH13" i="18"/>
  <c r="BR7" i="18"/>
  <c r="DP8" i="18"/>
  <c r="W10" i="18"/>
  <c r="AL13" i="18"/>
  <c r="DY6" i="18" l="1"/>
  <c r="FZ10" i="18"/>
  <c r="EJ9" i="18"/>
  <c r="FZ7" i="18"/>
  <c r="FT7" i="18"/>
  <c r="GC7" i="18"/>
  <c r="GJ7" i="18" s="1"/>
  <c r="DZ9" i="18"/>
  <c r="DZ6" i="18"/>
  <c r="DZ10" i="18"/>
  <c r="EU10" i="18"/>
  <c r="DY7" i="18"/>
  <c r="DZ7" i="18" s="1"/>
  <c r="DQ8" i="18"/>
  <c r="FT6" i="18"/>
  <c r="FH13" i="18"/>
  <c r="FI13" i="18"/>
  <c r="AZ9" i="18"/>
  <c r="DQ10" i="18"/>
  <c r="DY8" i="18"/>
  <c r="DZ8" i="18" s="1"/>
  <c r="BT7" i="18"/>
  <c r="CH8" i="18"/>
  <c r="FB8" i="18"/>
  <c r="AZ6" i="18"/>
  <c r="DP13" i="18"/>
  <c r="ED13" i="18"/>
  <c r="DT13" i="18"/>
  <c r="DK13" i="18"/>
  <c r="DF13" i="18"/>
  <c r="EI13" i="18"/>
  <c r="EJ7" i="18"/>
  <c r="FY13" i="18" l="1"/>
  <c r="FZ13" i="18"/>
  <c r="GD7" i="18"/>
  <c r="CH7" i="18"/>
  <c r="GI7" i="18"/>
  <c r="GK7" i="18" s="1"/>
  <c r="CH13" i="18"/>
  <c r="AZ13" i="18"/>
  <c r="GI9" i="18"/>
  <c r="CH9" i="18"/>
  <c r="FA9" i="18" s="1"/>
  <c r="GJ9" i="18" s="1"/>
  <c r="GI6" i="18"/>
  <c r="CH6" i="18"/>
  <c r="FA6" i="18" s="1"/>
  <c r="GJ6" i="18" s="1"/>
  <c r="DY13" i="18"/>
  <c r="DX13" i="18"/>
  <c r="GK9" i="18" l="1"/>
  <c r="FB9" i="18"/>
  <c r="GK6" i="18"/>
  <c r="FB6" i="18"/>
  <c r="B83" i="11" l="1"/>
  <c r="H31" i="12" l="1"/>
  <c r="H32" i="12"/>
  <c r="C213" i="11"/>
  <c r="H37" i="12" s="1"/>
  <c r="C206" i="11"/>
  <c r="H30" i="12" s="1"/>
  <c r="C205" i="11"/>
  <c r="H29" i="12" s="1"/>
  <c r="C204" i="11"/>
  <c r="H28" i="12" s="1"/>
  <c r="E73" i="11"/>
  <c r="E48" i="11" l="1"/>
  <c r="AB47" i="11"/>
  <c r="AB46" i="11"/>
  <c r="AB45" i="11"/>
  <c r="D8" i="17" l="1"/>
  <c r="D7" i="17"/>
  <c r="AB11" i="11" l="1"/>
  <c r="C218" i="11" l="1"/>
  <c r="H42" i="12" s="1"/>
  <c r="C217" i="11"/>
  <c r="H41" i="12" s="1"/>
  <c r="C216" i="11"/>
  <c r="H40" i="12" s="1"/>
  <c r="H39" i="12"/>
  <c r="C210" i="11"/>
  <c r="C9" i="16" l="1"/>
  <c r="C209" i="11" l="1"/>
  <c r="H33" i="12" s="1"/>
  <c r="GI13" i="18" l="1"/>
  <c r="AA23" i="12"/>
  <c r="F12" i="16"/>
  <c r="AA17" i="12" l="1"/>
  <c r="C219" i="11"/>
  <c r="H43" i="12" s="1"/>
  <c r="AA2" i="12"/>
  <c r="AB217" i="11" l="1"/>
  <c r="Y164" i="11" l="1"/>
  <c r="AB232" i="11" l="1"/>
  <c r="Y88" i="11" l="1"/>
  <c r="AB169" i="11" l="1"/>
  <c r="AB170" i="11"/>
  <c r="Y181" i="11" l="1"/>
  <c r="Y174" i="11"/>
  <c r="GB11" i="20" s="1"/>
  <c r="GC11" i="20" l="1"/>
  <c r="GC13" i="20" s="1"/>
  <c r="GB13" i="20"/>
  <c r="AB236" i="11"/>
  <c r="AB235" i="11"/>
  <c r="AB234" i="11"/>
  <c r="AB233" i="11"/>
  <c r="AB29" i="11" l="1"/>
  <c r="AB181" i="11"/>
  <c r="AC158" i="11"/>
  <c r="AC175" i="11"/>
  <c r="AC166" i="11"/>
  <c r="AB163" i="11"/>
  <c r="Y89" i="11" l="1"/>
  <c r="Y90" i="11" s="1"/>
  <c r="AB31" i="11"/>
  <c r="FK11" i="20" l="1"/>
  <c r="G3" i="19"/>
  <c r="H3" i="19"/>
  <c r="J3" i="19" s="1"/>
  <c r="Y120" i="11"/>
  <c r="O11" i="12"/>
  <c r="O12" i="12"/>
  <c r="O10" i="12"/>
  <c r="P9" i="12"/>
  <c r="BG29" i="11"/>
  <c r="B5" i="12" l="1"/>
  <c r="B5" i="22"/>
  <c r="FV11" i="20"/>
  <c r="FW11" i="20" s="1"/>
  <c r="FR11" i="20"/>
  <c r="G6" i="19"/>
  <c r="H6" i="19"/>
  <c r="J6" i="19" s="1"/>
  <c r="FL11" i="20"/>
  <c r="FL13" i="20" s="1"/>
  <c r="FK13" i="20"/>
  <c r="FP11" i="18"/>
  <c r="FQ11" i="18"/>
  <c r="FR11" i="18"/>
  <c r="FR13" i="18" s="1"/>
  <c r="FS11" i="18"/>
  <c r="AB36" i="11"/>
  <c r="AB35" i="11"/>
  <c r="FO11" i="18" l="1"/>
  <c r="FQ13" i="18"/>
  <c r="FP13" i="18"/>
  <c r="U86" i="11"/>
  <c r="AB79" i="11"/>
  <c r="AB42" i="11"/>
  <c r="AB41" i="11"/>
  <c r="AB40" i="11"/>
  <c r="Y37" i="11"/>
  <c r="AB34" i="11"/>
  <c r="AB33" i="11"/>
  <c r="AB32" i="11"/>
  <c r="AB30" i="11"/>
  <c r="AB13" i="11"/>
  <c r="AB12" i="11"/>
  <c r="AB10" i="11"/>
  <c r="AB8" i="11"/>
  <c r="FO13" i="18" l="1"/>
  <c r="Y102" i="11"/>
  <c r="H3" i="16"/>
  <c r="G3" i="16"/>
  <c r="AB143" i="11"/>
  <c r="Y151" i="11"/>
  <c r="AB90" i="11"/>
  <c r="FP11" i="20" l="1"/>
  <c r="T191" i="11"/>
  <c r="G4" i="19"/>
  <c r="H4" i="19"/>
  <c r="J4" i="19" s="1"/>
  <c r="FM13" i="20"/>
  <c r="H5" i="19"/>
  <c r="J5" i="19" s="1"/>
  <c r="G5" i="19"/>
  <c r="G9" i="19" s="1"/>
  <c r="FK11" i="18"/>
  <c r="FL11" i="18"/>
  <c r="FL13" i="18" s="1"/>
  <c r="FM11" i="18"/>
  <c r="C211" i="11"/>
  <c r="H35" i="12" s="1"/>
  <c r="C212" i="11"/>
  <c r="FS13" i="18"/>
  <c r="FT13" i="18"/>
  <c r="FI11" i="11"/>
  <c r="H6" i="16"/>
  <c r="J6" i="16" s="1"/>
  <c r="G6" i="16"/>
  <c r="H4" i="16"/>
  <c r="J4" i="16" s="1"/>
  <c r="G4" i="16"/>
  <c r="H5" i="16"/>
  <c r="J5" i="16" s="1"/>
  <c r="G5" i="16"/>
  <c r="J3" i="16"/>
  <c r="C214" i="11"/>
  <c r="H38" i="12" s="1"/>
  <c r="AB187" i="11"/>
  <c r="AB142" i="11"/>
  <c r="AB140" i="11"/>
  <c r="AB141" i="11"/>
  <c r="AB139" i="11"/>
  <c r="K187" i="11" l="1"/>
  <c r="H24" i="12" s="1"/>
  <c r="H30" i="22"/>
  <c r="H29" i="22"/>
  <c r="H31" i="22"/>
  <c r="H9" i="19"/>
  <c r="FP13" i="20"/>
  <c r="FQ11" i="20"/>
  <c r="FJ11" i="18"/>
  <c r="H36" i="12"/>
  <c r="AB212" i="11"/>
  <c r="H9" i="16"/>
  <c r="FK13" i="18"/>
  <c r="G9" i="16"/>
  <c r="H25" i="12" s="1"/>
  <c r="Q24" i="12" l="1"/>
  <c r="Q25" i="12"/>
  <c r="FQ13" i="20"/>
  <c r="GF11" i="20"/>
  <c r="FJ13" i="18"/>
  <c r="GG11" i="20" l="1"/>
  <c r="GG13" i="20" s="1"/>
  <c r="GF13" i="20"/>
  <c r="FM13" i="18"/>
  <c r="FN13" i="18" l="1"/>
  <c r="GC13" i="18" l="1"/>
  <c r="GD13" i="18"/>
  <c r="GJ13" i="18" l="1"/>
  <c r="GK13" i="18"/>
  <c r="FV13" i="20"/>
  <c r="FR13" i="20"/>
  <c r="FW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1" authorId="0" shapeId="0" xr:uid="{00000000-0006-0000-0000-000001000000}">
      <text>
        <r>
          <rPr>
            <b/>
            <sz val="9"/>
            <color indexed="81"/>
            <rFont val="ＭＳ Ｐゴシック"/>
            <family val="3"/>
            <charset val="128"/>
          </rPr>
          <t>実績報告では転居後の住所を記載して下さい。</t>
        </r>
      </text>
    </comment>
    <comment ref="J232"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<sst xmlns="http://schemas.openxmlformats.org/spreadsheetml/2006/main" count="1247" uniqueCount="512">
  <si>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</si>
  <si>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</si>
  <si>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</si>
  <si>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</si>
  <si>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</si>
  <si>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</si>
  <si>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</si>
  <si>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申請者世帯</t>
    <rPh sb="0" eb="3">
      <t>シンセイシャ</t>
    </rPh>
    <rPh sb="3" eb="5">
      <t>セタイ</t>
    </rPh>
    <phoneticPr fontId="1"/>
  </si>
  <si>
    <t>日</t>
    <rPh sb="0" eb="1">
      <t>ニチ</t>
    </rPh>
    <phoneticPr fontId="1"/>
  </si>
  <si>
    <t>年</t>
    <rPh sb="0" eb="1">
      <t>ネン</t>
    </rPh>
    <phoneticPr fontId="1"/>
  </si>
  <si>
    <t>電話</t>
    <rPh sb="0" eb="2">
      <t>デンワ</t>
    </rPh>
    <phoneticPr fontId="1"/>
  </si>
  <si>
    <t>〒</t>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</si>
  <si>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</si>
  <si>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</si>
  <si>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</si>
  <si>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</si>
  <si>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</si>
  <si>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</si>
  <si>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添付書類</t>
    <rPh sb="0" eb="2">
      <t>テンプ</t>
    </rPh>
    <rPh sb="2" eb="4">
      <t>ショルイ</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</si>
  <si>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</si>
  <si>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</si>
  <si>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</si>
  <si>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</si>
  <si>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</si>
  <si>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工法</t>
    <rPh sb="0" eb="2">
      <t>コウホウ</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</si>
  <si>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</si>
  <si>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</si>
  <si>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</si>
  <si>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</si>
  <si>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</si>
  <si>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</si>
  <si>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</si>
  <si>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</si>
  <si>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</si>
  <si>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</si>
  <si>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</si>
  <si>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</si>
  <si>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</si>
  <si>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</si>
  <si>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</si>
  <si>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</si>
  <si>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</si>
  <si>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</si>
  <si>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</si>
  <si>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</si>
  <si>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</si>
  <si>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</si>
  <si>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</si>
  <si>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</si>
  <si>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</si>
  <si>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万円</t>
    <rPh sb="0" eb="2">
      <t>マンエン</t>
    </rPh>
    <phoneticPr fontId="1"/>
  </si>
  <si>
    <t>３　子育て世帯等　（補助金額：１０万円）</t>
    <rPh sb="2" eb="4">
      <t>コソダ</t>
    </rPh>
    <rPh sb="5" eb="7">
      <t>セタイ</t>
    </rPh>
    <rPh sb="7" eb="8">
      <t>トウ</t>
    </rPh>
    <rPh sb="10" eb="14">
      <t>ホジョキンガク</t>
    </rPh>
    <rPh sb="17" eb="19">
      <t>マンエン</t>
    </rPh>
    <phoneticPr fontId="1"/>
  </si>
  <si>
    <t>４　三世代同居等世帯　（補助金額：１０万円）</t>
    <rPh sb="2" eb="3">
      <t>サン</t>
    </rPh>
    <rPh sb="3" eb="5">
      <t>セダイ</t>
    </rPh>
    <rPh sb="5" eb="7">
      <t>ドウキョ</t>
    </rPh>
    <rPh sb="7" eb="8">
      <t>トウ</t>
    </rPh>
    <rPh sb="8" eb="10">
      <t>セタイ</t>
    </rPh>
    <phoneticPr fontId="1"/>
  </si>
  <si>
    <t>あなたの補助金申請額は</t>
    <rPh sb="4" eb="7">
      <t>ホジョキン</t>
    </rPh>
    <rPh sb="7" eb="9">
      <t>シンセイ</t>
    </rPh>
    <rPh sb="9" eb="10">
      <t>ガク</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</si>
  <si>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</si>
  <si>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</si>
  <si>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</si>
  <si>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</si>
  <si>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</si>
  <si>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</si>
  <si>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</si>
  <si>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</si>
  <si>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</si>
  <si>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入力欄がある項目は、色付きの欄に記入してください。</t>
    <rPh sb="0" eb="2">
      <t>ニュウリョク</t>
    </rPh>
    <rPh sb="2" eb="3">
      <t>ラン</t>
    </rPh>
    <rPh sb="6" eb="8">
      <t>コウモク</t>
    </rPh>
    <rPh sb="10" eb="12">
      <t>イロツ</t>
    </rPh>
    <rPh sb="14" eb="15">
      <t>ラン</t>
    </rPh>
    <rPh sb="16" eb="18">
      <t>キニュウ</t>
    </rPh>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</si>
  <si>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</si>
  <si>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</si>
  <si>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</si>
  <si>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万円</t>
    <rPh sb="0" eb="2">
      <t>マンエン</t>
    </rPh>
    <phoneticPr fontId="1"/>
  </si>
  <si>
    <t>プレカット工場名</t>
    <rPh sb="5" eb="7">
      <t>コウジョウ</t>
    </rPh>
    <rPh sb="7" eb="8">
      <t>メイ</t>
    </rPh>
    <phoneticPr fontId="1"/>
  </si>
  <si>
    <t>m2</t>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</si>
  <si>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</si>
  <si>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</si>
  <si>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t>木製建具の見付面積</t>
    <rPh sb="0" eb="2">
      <t>モクセイ</t>
    </rPh>
    <rPh sb="2" eb="4">
      <t>タテグ</t>
    </rPh>
    <rPh sb="5" eb="7">
      <t>ミツケ</t>
    </rPh>
    <rPh sb="7" eb="9">
      <t>メンセキ</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</si>
  <si>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</si>
  <si>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</si>
  <si>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</si>
  <si>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</si>
  <si>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</si>
  <si>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</si>
  <si>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</si>
  <si>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</si>
  <si>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</si>
  <si>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</si>
  <si>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</si>
  <si>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</si>
  <si>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</si>
  <si>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</si>
  <si>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</si>
  <si>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</si>
  <si>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</si>
  <si>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</si>
  <si>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</si>
  <si>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</si>
  <si>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</si>
  <si>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</si>
  <si>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</si>
  <si>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</si>
  <si>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</si>
  <si>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</si>
  <si>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</si>
  <si>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</si>
  <si>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</si>
  <si>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</si>
  <si>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</si>
  <si>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</si>
  <si>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</si>
  <si>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</si>
  <si>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1"/>
  </si>
  <si>
    <t>※当該住宅と同一敷地内にあり、一体的に日常生活の用に供される車庫、物置、木塀等に係るものを含む。</t>
    <phoneticPr fontId="1"/>
  </si>
  <si>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1"/>
  </si>
  <si>
    <t>工事種別</t>
    <rPh sb="0" eb="2">
      <t>コウジ</t>
    </rPh>
    <rPh sb="2" eb="4">
      <t>シュベツ</t>
    </rPh>
    <phoneticPr fontId="1"/>
  </si>
  <si>
    <t>建築工事届の要否</t>
    <rPh sb="0" eb="2">
      <t>ケンチク</t>
    </rPh>
    <rPh sb="2" eb="4">
      <t>コウジ</t>
    </rPh>
    <rPh sb="4" eb="5">
      <t>トドケ</t>
    </rPh>
    <rPh sb="6" eb="8">
      <t>ヨウヒ</t>
    </rPh>
    <phoneticPr fontId="1"/>
  </si>
  <si>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1"/>
  </si>
  <si>
    <t>見付面積の算出過程及び結果並びに使用場所がわかる立面図、展開図等の書類</t>
  </si>
  <si>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1"/>
  </si>
  <si>
    <t>②県産材の構造材又は下地材の使用材積</t>
    <rPh sb="5" eb="8">
      <t>コウゾウザイ</t>
    </rPh>
    <rPh sb="8" eb="9">
      <t>マタ</t>
    </rPh>
    <rPh sb="10" eb="13">
      <t>シタジザイ</t>
    </rPh>
    <rPh sb="16" eb="18">
      <t>ザイセキ</t>
    </rPh>
    <phoneticPr fontId="1"/>
  </si>
  <si>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</si>
  <si>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④改修することで直系親族世帯と新たに近居すること。</t>
    <rPh sb="1" eb="3">
      <t>カイシュウ</t>
    </rPh>
    <rPh sb="8" eb="14">
      <t>チョッケイシンゾクセタイ</t>
    </rPh>
    <rPh sb="15" eb="16">
      <t>アラ</t>
    </rPh>
    <phoneticPr fontId="1"/>
  </si>
  <si>
    <t>⑤改修することで直系親族世帯と新たに同居すること。</t>
    <rPh sb="1" eb="3">
      <t>カイシュウ</t>
    </rPh>
    <rPh sb="8" eb="14">
      <t>チョッケイシンゾクセタイ</t>
    </rPh>
    <rPh sb="15" eb="16">
      <t>アラ</t>
    </rPh>
    <phoneticPr fontId="1"/>
  </si>
  <si>
    <t>⑥改修することで直系親族の子育て世帯等と新たに同居する世帯であること。</t>
    <phoneticPr fontId="1"/>
  </si>
  <si>
    <t>①建築大工技能</t>
    <rPh sb="1" eb="3">
      <t>ケンチク</t>
    </rPh>
    <rPh sb="3" eb="5">
      <t>ダイク</t>
    </rPh>
    <rPh sb="5" eb="7">
      <t>ギノウ</t>
    </rPh>
    <phoneticPr fontId="1"/>
  </si>
  <si>
    <t>建築大工技能を活用した見付面積</t>
    <rPh sb="0" eb="2">
      <t>ケンチク</t>
    </rPh>
    <rPh sb="2" eb="4">
      <t>ダイク</t>
    </rPh>
    <rPh sb="4" eb="6">
      <t>ギノウ</t>
    </rPh>
    <rPh sb="7" eb="9">
      <t>カツヨウ</t>
    </rPh>
    <rPh sb="11" eb="13">
      <t>ミツケ</t>
    </rPh>
    <rPh sb="13" eb="15">
      <t>メンセキ</t>
    </rPh>
    <phoneticPr fontId="1"/>
  </si>
  <si>
    <t>m2</t>
  </si>
  <si>
    <t>見付面積１m2あたり11,000円を支援する。（1m2未満切捨て）</t>
    <rPh sb="0" eb="2">
      <t>ミツケ</t>
    </rPh>
    <rPh sb="2" eb="4">
      <t>メンセキ</t>
    </rPh>
    <rPh sb="16" eb="17">
      <t>エン</t>
    </rPh>
    <rPh sb="18" eb="20">
      <t>シエン</t>
    </rPh>
    <rPh sb="27" eb="29">
      <t>ミマン</t>
    </rPh>
    <rPh sb="29" eb="31">
      <t>キリス</t>
    </rPh>
    <phoneticPr fontId="1"/>
  </si>
  <si>
    <t>見付面積１m2あたり19,000円を支援する。（1m2未満切捨て）</t>
    <rPh sb="0" eb="2">
      <t>ミツケ</t>
    </rPh>
    <rPh sb="2" eb="4">
      <t>メンセキ</t>
    </rPh>
    <rPh sb="16" eb="17">
      <t>エン</t>
    </rPh>
    <rPh sb="18" eb="20">
      <t>シエン</t>
    </rPh>
    <phoneticPr fontId="1"/>
  </si>
  <si>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1"/>
  </si>
  <si>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1"/>
  </si>
  <si>
    <t>②左官仕上げ</t>
    <rPh sb="1" eb="3">
      <t>サカン</t>
    </rPh>
    <rPh sb="3" eb="5">
      <t>シア</t>
    </rPh>
    <phoneticPr fontId="1"/>
  </si>
  <si>
    <t>③木製建具</t>
    <rPh sb="1" eb="3">
      <t>モクセイ</t>
    </rPh>
    <rPh sb="3" eb="5">
      <t>タテグ</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</si>
  <si>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</si>
  <si>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</si>
  <si>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</si>
  <si>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</si>
  <si>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都道府県名</t>
    <rPh sb="0" eb="4">
      <t>トドウフケン</t>
    </rPh>
    <rPh sb="4" eb="5">
      <t>メイ</t>
    </rPh>
    <phoneticPr fontId="1"/>
  </si>
  <si>
    <t>知事</t>
    <rPh sb="0" eb="2">
      <t>チジ</t>
    </rPh>
    <phoneticPr fontId="1"/>
  </si>
  <si>
    <t>登録番号</t>
    <rPh sb="0" eb="2">
      <t>トウロク</t>
    </rPh>
    <rPh sb="2" eb="4">
      <t>バンゴウ</t>
    </rPh>
    <phoneticPr fontId="1"/>
  </si>
  <si>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</si>
  <si>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申請時住所の小学校区</t>
    <rPh sb="0" eb="3">
      <t>シンセイジ</t>
    </rPh>
    <rPh sb="3" eb="5">
      <t>ジュウショ</t>
    </rPh>
    <rPh sb="6" eb="9">
      <t>ショウガッコウ</t>
    </rPh>
    <rPh sb="9" eb="10">
      <t>ク</t>
    </rPh>
    <phoneticPr fontId="1"/>
  </si>
  <si>
    <t>建設地の小学校区</t>
    <rPh sb="0" eb="3">
      <t>ケンセツチ</t>
    </rPh>
    <rPh sb="4" eb="7">
      <t>ショウガッコウ</t>
    </rPh>
    <rPh sb="7" eb="8">
      <t>ク</t>
    </rPh>
    <phoneticPr fontId="1"/>
  </si>
  <si>
    <t>同居、近居対象の親族世帯</t>
    <rPh sb="0" eb="2">
      <t>ドウキョ</t>
    </rPh>
    <rPh sb="3" eb="5">
      <t>キンキョ</t>
    </rPh>
    <rPh sb="5" eb="7">
      <t>タイショウ</t>
    </rPh>
    <rPh sb="8" eb="10">
      <t>シンゾク</t>
    </rPh>
    <rPh sb="10" eb="12">
      <t>セタイ</t>
    </rPh>
    <phoneticPr fontId="1"/>
  </si>
  <si>
    <t>小学校区</t>
    <rPh sb="0" eb="3">
      <t>ショウガッコウ</t>
    </rPh>
    <rPh sb="3" eb="4">
      <t>ク</t>
    </rPh>
    <phoneticPr fontId="1"/>
  </si>
  <si>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1"/>
  </si>
  <si>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</si>
  <si>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</si>
  <si>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1"/>
  </si>
  <si>
    <t>外壁の場合はモルタル塗、漆喰塗、その他のこて塗仕上げ</t>
    <phoneticPr fontId="1"/>
  </si>
  <si>
    <t>内壁の場合はモルタル塗、漆喰塗、土塗壁、じゅらく塗、</t>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</si>
  <si>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</si>
  <si>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</si>
  <si>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</si>
  <si>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t>要綱を熟読し、補助対象要件を確認した。</t>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</si>
  <si>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</si>
  <si>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r>
      <t>珪藻土塗その他のこて塗仕上げで</t>
    </r>
    <r>
      <rPr>
        <sz val="11"/>
        <color rgb="FFFF0000"/>
        <rFont val="ＭＳ Ｐ明朝"/>
        <family val="1"/>
        <charset val="128"/>
      </rPr>
      <t>7m2以上施工</t>
    </r>
    <rPh sb="18" eb="20">
      <t>イジョウ</t>
    </rPh>
    <rPh sb="20" eb="22">
      <t>セコウ</t>
    </rPh>
    <phoneticPr fontId="1"/>
  </si>
  <si>
    <t>こて塗り面積１m2あたり13,000円を支援する。（1m2未満切捨て）</t>
    <rPh sb="2" eb="3">
      <t>ヌ</t>
    </rPh>
    <rPh sb="4" eb="6">
      <t>メンセキ</t>
    </rPh>
    <rPh sb="18" eb="19">
      <t>エン</t>
    </rPh>
    <rPh sb="20" eb="22">
      <t>シエン</t>
    </rPh>
    <phoneticPr fontId="1"/>
  </si>
  <si>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</si>
  <si>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工事監理者氏名</t>
  </si>
  <si>
    <t>完成写真及び口座振替依頼書</t>
    <rPh sb="0" eb="2">
      <t>カンセイ</t>
    </rPh>
    <rPh sb="2" eb="4">
      <t>シャシン</t>
    </rPh>
    <rPh sb="4" eb="5">
      <t>オヨ</t>
    </rPh>
    <rPh sb="6" eb="8">
      <t>コウザ</t>
    </rPh>
    <rPh sb="8" eb="10">
      <t>フリカエ</t>
    </rPh>
    <rPh sb="10" eb="13">
      <t>イライショ</t>
    </rPh>
    <phoneticPr fontId="1"/>
  </si>
  <si>
    <t>あなたが補助金実績報告で提出する書類は次のとおりです。</t>
    <rPh sb="4" eb="7">
      <t>ホジョキン</t>
    </rPh>
    <rPh sb="7" eb="9">
      <t>ジッセキ</t>
    </rPh>
    <rPh sb="9" eb="11">
      <t>ホウコク</t>
    </rPh>
    <rPh sb="12" eb="14">
      <t>テイシュツ</t>
    </rPh>
    <rPh sb="16" eb="18">
      <t>ショルイ</t>
    </rPh>
    <rPh sb="19" eb="20">
      <t>ツギ</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</si>
  <si>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1"/>
  </si>
  <si>
    <t>とっとり住まいる支援事業補助金実績報告書</t>
    <rPh sb="4" eb="5">
      <t>ス</t>
    </rPh>
    <rPh sb="8" eb="12">
      <t>シエンジギョウ</t>
    </rPh>
    <rPh sb="12" eb="15">
      <t>ホジョキン</t>
    </rPh>
    <rPh sb="15" eb="17">
      <t>ジッセキ</t>
    </rPh>
    <rPh sb="17" eb="20">
      <t>ホウコクショ</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</si>
  <si>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</si>
  <si>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交付決定額</t>
    <rPh sb="0" eb="2">
      <t>コウフ</t>
    </rPh>
    <rPh sb="2" eb="5">
      <t>ケッテイガク</t>
    </rPh>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</si>
  <si>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</si>
  <si>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</si>
  <si>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実　　績</t>
    <rPh sb="0" eb="1">
      <t>ジツ</t>
    </rPh>
    <rPh sb="3" eb="4">
      <t>イサオ</t>
    </rPh>
    <phoneticPr fontId="1"/>
  </si>
  <si>
    <t>差　　額</t>
    <rPh sb="0" eb="1">
      <t>サ</t>
    </rPh>
    <rPh sb="3" eb="4">
      <t>ガク</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</si>
  <si>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</si>
  <si>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</si>
  <si>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</si>
  <si>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←この欄で該当するものを選択</t>
    <rPh sb="3" eb="4">
      <t>ラン</t>
    </rPh>
    <rPh sb="5" eb="7">
      <t>ガイトウ</t>
    </rPh>
    <rPh sb="12" eb="14">
      <t>センタク</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</si>
  <si>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</si>
  <si>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</si>
  <si>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</si>
  <si>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三世代同居等世帯</t>
    <rPh sb="0" eb="1">
      <t>サン</t>
    </rPh>
    <rPh sb="1" eb="3">
      <t>セダイ</t>
    </rPh>
    <rPh sb="3" eb="5">
      <t>ドウキョ</t>
    </rPh>
    <rPh sb="5" eb="6">
      <t>ナド</t>
    </rPh>
    <rPh sb="6" eb="8">
      <t>セタイ</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</si>
  <si>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</si>
  <si>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</si>
  <si>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</si>
  <si>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</si>
  <si>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算定基準額</t>
    <rPh sb="0" eb="2">
      <t>サンテイ</t>
    </rPh>
    <rPh sb="2" eb="5">
      <t>キジュンガク</t>
    </rPh>
    <phoneticPr fontId="1"/>
  </si>
  <si>
    <t>交付申請時の改修工事費</t>
    <rPh sb="0" eb="2">
      <t>コウフ</t>
    </rPh>
    <rPh sb="2" eb="5">
      <t>シンセイジ</t>
    </rPh>
    <rPh sb="6" eb="8">
      <t>カイシュウ</t>
    </rPh>
    <rPh sb="8" eb="11">
      <t>コウジヒ</t>
    </rPh>
    <phoneticPr fontId="1"/>
  </si>
  <si>
    <t>↑単位に注意</t>
    <rPh sb="1" eb="3">
      <t>タンイ</t>
    </rPh>
    <rPh sb="4" eb="6">
      <t>チュウイ</t>
    </rPh>
    <phoneticPr fontId="1"/>
  </si>
  <si>
    <t>実績報告時の改修工事費</t>
    <rPh sb="0" eb="2">
      <t>ジッセキ</t>
    </rPh>
    <rPh sb="2" eb="4">
      <t>ホウコク</t>
    </rPh>
    <rPh sb="4" eb="5">
      <t>ジ</t>
    </rPh>
    <rPh sb="6" eb="8">
      <t>カイシュウ</t>
    </rPh>
    <rPh sb="8" eb="11">
      <t>コウジヒ</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</si>
  <si>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</si>
  <si>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r>
      <rPr>
        <sz val="11"/>
        <color rgb="FF0000FF"/>
        <rFont val="ＭＳ 明朝"/>
        <family val="1"/>
        <charset val="128"/>
      </rPr>
      <t>青の欄のみ入力</t>
    </r>
    <r>
      <rPr>
        <sz val="11"/>
        <color theme="1"/>
        <rFont val="ＭＳ 明朝"/>
        <family val="1"/>
        <charset val="128"/>
      </rPr>
      <t>、黄色の欄は自動計算</t>
    </r>
    <rPh sb="0" eb="1">
      <t>アオ</t>
    </rPh>
    <rPh sb="2" eb="3">
      <t>ラン</t>
    </rPh>
    <rPh sb="5" eb="7">
      <t>ニュウリョク</t>
    </rPh>
    <rPh sb="8" eb="10">
      <t>キイロ</t>
    </rPh>
    <rPh sb="11" eb="12">
      <t>ラン</t>
    </rPh>
    <rPh sb="13" eb="15">
      <t>ジドウ</t>
    </rPh>
    <rPh sb="15" eb="17">
      <t>ケイサン</t>
    </rPh>
    <phoneticPr fontId="1"/>
  </si>
  <si>
    <t>いいえ</t>
  </si>
  <si>
    <t>↑単位に注意　万円単位で入力してください（200万円→200で入力、90万3千円→90.3で入力）</t>
    <rPh sb="1" eb="3">
      <t>タンイ</t>
    </rPh>
    <rPh sb="4" eb="6">
      <t>チュウイ</t>
    </rPh>
    <rPh sb="7" eb="9">
      <t>マンエン</t>
    </rPh>
    <rPh sb="9" eb="11">
      <t>タンイ</t>
    </rPh>
    <rPh sb="12" eb="14">
      <t>ニュウリョク</t>
    </rPh>
    <rPh sb="24" eb="26">
      <t>マンエン</t>
    </rPh>
    <rPh sb="31" eb="33">
      <t>ニュウリョク</t>
    </rPh>
    <rPh sb="36" eb="37">
      <t>マン</t>
    </rPh>
    <rPh sb="38" eb="40">
      <t>センエン</t>
    </rPh>
    <rPh sb="46" eb="48">
      <t>ニュウリョク</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</si>
  <si>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</si>
  <si>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</si>
  <si>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</si>
  <si>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</si>
  <si>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</si>
  <si>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</si>
  <si>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</si>
  <si>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</si>
  <si>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</si>
  <si>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</si>
  <si>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</si>
  <si>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</si>
  <si>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</si>
  <si>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・申請者の戸籍抄本又は戸籍謄本</t>
    <rPh sb="1" eb="3">
      <t>シンセイ</t>
    </rPh>
    <rPh sb="3" eb="4">
      <t>シャ</t>
    </rPh>
    <rPh sb="5" eb="7">
      <t>コセキ</t>
    </rPh>
    <rPh sb="7" eb="9">
      <t>ショウホン</t>
    </rPh>
    <rPh sb="9" eb="10">
      <t>マタ</t>
    </rPh>
    <rPh sb="11" eb="13">
      <t>コセキ</t>
    </rPh>
    <rPh sb="13" eb="15">
      <t>トウホン</t>
    </rPh>
    <phoneticPr fontId="1"/>
  </si>
  <si>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</si>
  <si>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</si>
  <si>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増改築</t>
    <rPh sb="0" eb="3">
      <t>ゾウカイチク</t>
    </rPh>
    <phoneticPr fontId="1"/>
  </si>
  <si>
    <t>車庫、物置、木塀等の工事</t>
    <rPh sb="0" eb="2">
      <t>シャコ</t>
    </rPh>
    <rPh sb="3" eb="5">
      <t>モノオキ</t>
    </rPh>
    <rPh sb="6" eb="7">
      <t>モク</t>
    </rPh>
    <rPh sb="7" eb="8">
      <t>ベイ</t>
    </rPh>
    <rPh sb="8" eb="9">
      <t>ナド</t>
    </rPh>
    <rPh sb="10" eb="12">
      <t>コウジ</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</si>
  <si>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</si>
  <si>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1"/>
  </si>
  <si>
    <t>姓</t>
    <rPh sb="0" eb="1">
      <t>セイ</t>
    </rPh>
    <phoneticPr fontId="1"/>
  </si>
  <si>
    <t>補助対象を同一とする県費を財源とする他の補助事業を利用していないこと。</t>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</si>
  <si>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</si>
  <si>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</si>
  <si>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</si>
  <si>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1"/>
  </si>
  <si>
    <t>鳥取県生活環境部住まいまちづくり課</t>
    <rPh sb="0" eb="3">
      <t>トットリケン</t>
    </rPh>
    <rPh sb="3" eb="5">
      <t>セイカツ</t>
    </rPh>
    <rPh sb="5" eb="8">
      <t>カンキョウブ</t>
    </rPh>
    <rPh sb="8" eb="9">
      <t>ス</t>
    </rPh>
    <rPh sb="16" eb="17">
      <t>カ</t>
    </rPh>
    <phoneticPr fontId="1"/>
  </si>
  <si>
    <t>0857-26-7398</t>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</si>
  <si>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</si>
  <si>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</si>
  <si>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</si>
  <si>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0"/>
  </si>
  <si>
    <t>通し番号</t>
    <rPh sb="0" eb="1">
      <t>トオ</t>
    </rPh>
    <rPh sb="2" eb="4">
      <t>バンゴウ</t>
    </rPh>
    <phoneticPr fontId="20"/>
  </si>
  <si>
    <t>区分</t>
    <rPh sb="0" eb="2">
      <t>クブン</t>
    </rPh>
    <phoneticPr fontId="20"/>
  </si>
  <si>
    <t>債務負担行為</t>
    <rPh sb="0" eb="2">
      <t>サイム</t>
    </rPh>
    <rPh sb="2" eb="4">
      <t>フタン</t>
    </rPh>
    <rPh sb="4" eb="6">
      <t>コウイ</t>
    </rPh>
    <phoneticPr fontId="30"/>
  </si>
  <si>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</si>
  <si>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</si>
  <si>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</si>
  <si>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20"/>
  </si>
  <si>
    <t>建設地</t>
    <rPh sb="0" eb="3">
      <t>ケンセツチ</t>
    </rPh>
    <phoneticPr fontId="20"/>
  </si>
  <si>
    <t>新築助成（予定）</t>
    <rPh sb="0" eb="2">
      <t>シンチク</t>
    </rPh>
    <rPh sb="2" eb="4">
      <t>ジョセイ</t>
    </rPh>
    <rPh sb="5" eb="7">
      <t>ヨテイ</t>
    </rPh>
    <phoneticPr fontId="20"/>
  </si>
  <si>
    <t>交付決定額
（新築）</t>
    <rPh sb="0" eb="2">
      <t>コウフ</t>
    </rPh>
    <rPh sb="2" eb="4">
      <t>ケッテイ</t>
    </rPh>
    <rPh sb="4" eb="5">
      <t>ガク</t>
    </rPh>
    <rPh sb="7" eb="9">
      <t>シンチク</t>
    </rPh>
    <phoneticPr fontId="30"/>
  </si>
  <si>
    <t>改修助成（予定）</t>
    <rPh sb="0" eb="2">
      <t>カイシュウ</t>
    </rPh>
    <rPh sb="2" eb="4">
      <t>ジョセイ</t>
    </rPh>
    <rPh sb="5" eb="7">
      <t>ヨテイ</t>
    </rPh>
    <phoneticPr fontId="30"/>
  </si>
  <si>
    <t>予定工期</t>
    <rPh sb="0" eb="2">
      <t>ヨテイ</t>
    </rPh>
    <rPh sb="2" eb="4">
      <t>コウキ</t>
    </rPh>
    <phoneticPr fontId="20"/>
  </si>
  <si>
    <t>交付（登録）決定</t>
    <rPh sb="0" eb="2">
      <t>コウフ</t>
    </rPh>
    <rPh sb="3" eb="5">
      <t>トウロク</t>
    </rPh>
    <rPh sb="6" eb="8">
      <t>ケッテイ</t>
    </rPh>
    <phoneticPr fontId="20"/>
  </si>
  <si>
    <t>業者名</t>
    <rPh sb="0" eb="2">
      <t>ギョウシャ</t>
    </rPh>
    <rPh sb="2" eb="3">
      <t>メイ</t>
    </rPh>
    <phoneticPr fontId="20"/>
  </si>
  <si>
    <t>プレカット事業者名</t>
    <rPh sb="5" eb="8">
      <t>ジギョウシャ</t>
    </rPh>
    <rPh sb="8" eb="9">
      <t>メイ</t>
    </rPh>
    <phoneticPr fontId="1"/>
  </si>
  <si>
    <t>延面積</t>
    <rPh sb="0" eb="1">
      <t>ノ</t>
    </rPh>
    <rPh sb="1" eb="3">
      <t>メンセキ</t>
    </rPh>
    <phoneticPr fontId="30"/>
  </si>
  <si>
    <t>工事費</t>
    <rPh sb="0" eb="3">
      <t>コウジヒ</t>
    </rPh>
    <phoneticPr fontId="30"/>
  </si>
  <si>
    <t>建築確認</t>
    <rPh sb="0" eb="2">
      <t>ケンチク</t>
    </rPh>
    <rPh sb="2" eb="4">
      <t>カクニン</t>
    </rPh>
    <phoneticPr fontId="30"/>
  </si>
  <si>
    <t>変更承認</t>
    <rPh sb="0" eb="2">
      <t>ヘンコウ</t>
    </rPh>
    <rPh sb="2" eb="4">
      <t>ショウニン</t>
    </rPh>
    <phoneticPr fontId="30"/>
  </si>
  <si>
    <t>フラット35子育て支援型利用</t>
    <rPh sb="6" eb="8">
      <t>コソダ</t>
    </rPh>
    <rPh sb="9" eb="12">
      <t>シエンガタ</t>
    </rPh>
    <rPh sb="12" eb="14">
      <t>リヨウ</t>
    </rPh>
    <phoneticPr fontId="30"/>
  </si>
  <si>
    <t>補助金併用</t>
    <rPh sb="0" eb="3">
      <t>ホジョキン</t>
    </rPh>
    <rPh sb="3" eb="5">
      <t>ヘイヨウ</t>
    </rPh>
    <phoneticPr fontId="30"/>
  </si>
  <si>
    <t>省エネルギー性能</t>
    <rPh sb="0" eb="1">
      <t>ショウ</t>
    </rPh>
    <rPh sb="6" eb="8">
      <t>セイノウ</t>
    </rPh>
    <phoneticPr fontId="1"/>
  </si>
  <si>
    <t>新築助成（実績）</t>
    <rPh sb="0" eb="2">
      <t>シンチク</t>
    </rPh>
    <rPh sb="2" eb="4">
      <t>ジョセイ</t>
    </rPh>
    <rPh sb="5" eb="7">
      <t>ジッセキ</t>
    </rPh>
    <phoneticPr fontId="20"/>
  </si>
  <si>
    <t>改修助成（実績）</t>
    <rPh sb="0" eb="2">
      <t>カイシュウ</t>
    </rPh>
    <rPh sb="2" eb="4">
      <t>ジョセイ</t>
    </rPh>
    <rPh sb="5" eb="7">
      <t>ジッセキ</t>
    </rPh>
    <phoneticPr fontId="30"/>
  </si>
  <si>
    <t>額の確定</t>
    <rPh sb="0" eb="1">
      <t>ガク</t>
    </rPh>
    <rPh sb="2" eb="4">
      <t>カクテイ</t>
    </rPh>
    <phoneticPr fontId="30"/>
  </si>
  <si>
    <t>氏名</t>
    <rPh sb="0" eb="2">
      <t>シメイ</t>
    </rPh>
    <phoneticPr fontId="20"/>
  </si>
  <si>
    <t>郵便番号</t>
    <rPh sb="0" eb="4">
      <t>ユウビンバンゴウ</t>
    </rPh>
    <phoneticPr fontId="30"/>
  </si>
  <si>
    <t>住所</t>
    <rPh sb="0" eb="2">
      <t>ジュウショ</t>
    </rPh>
    <phoneticPr fontId="30"/>
  </si>
  <si>
    <t>電話</t>
    <rPh sb="0" eb="2">
      <t>デンワ</t>
    </rPh>
    <phoneticPr fontId="20"/>
  </si>
  <si>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</si>
  <si>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20"/>
  </si>
  <si>
    <t>機械等級区分構造材</t>
    <rPh sb="0" eb="2">
      <t>キカイ</t>
    </rPh>
    <rPh sb="2" eb="4">
      <t>トウキュウ</t>
    </rPh>
    <rPh sb="4" eb="6">
      <t>クブン</t>
    </rPh>
    <rPh sb="6" eb="9">
      <t>コウゾウザイ</t>
    </rPh>
    <phoneticPr fontId="20"/>
  </si>
  <si>
    <t>県産ＣＬＴ材</t>
    <rPh sb="0" eb="2">
      <t>ケンサン</t>
    </rPh>
    <rPh sb="5" eb="6">
      <t>ザイ</t>
    </rPh>
    <phoneticPr fontId="20"/>
  </si>
  <si>
    <t>県産内外装材</t>
    <rPh sb="0" eb="2">
      <t>ケンサン</t>
    </rPh>
    <rPh sb="2" eb="5">
      <t>ナイガイソウ</t>
    </rPh>
    <rPh sb="5" eb="6">
      <t>ザイ</t>
    </rPh>
    <phoneticPr fontId="20"/>
  </si>
  <si>
    <t>子育て世帯等</t>
    <rPh sb="0" eb="2">
      <t>コソダ</t>
    </rPh>
    <rPh sb="3" eb="5">
      <t>セタイ</t>
    </rPh>
    <rPh sb="5" eb="6">
      <t>トウ</t>
    </rPh>
    <phoneticPr fontId="30"/>
  </si>
  <si>
    <t>三世代同居等</t>
    <rPh sb="0" eb="1">
      <t>サン</t>
    </rPh>
    <rPh sb="1" eb="3">
      <t>セダイ</t>
    </rPh>
    <rPh sb="3" eb="5">
      <t>ドウキョ</t>
    </rPh>
    <rPh sb="5" eb="6">
      <t>トウ</t>
    </rPh>
    <phoneticPr fontId="30"/>
  </si>
  <si>
    <t>伝統技能活用（４ポイント以上該当）</t>
    <rPh sb="0" eb="2">
      <t>デントウ</t>
    </rPh>
    <rPh sb="2" eb="4">
      <t>ギノウ</t>
    </rPh>
    <rPh sb="4" eb="6">
      <t>カツヨウ</t>
    </rPh>
    <rPh sb="12" eb="14">
      <t>イジョウ</t>
    </rPh>
    <rPh sb="14" eb="16">
      <t>ガイトウ</t>
    </rPh>
    <phoneticPr fontId="20"/>
  </si>
  <si>
    <t>県産材</t>
    <rPh sb="0" eb="3">
      <t>ケンサンザイ</t>
    </rPh>
    <phoneticPr fontId="30"/>
  </si>
  <si>
    <t>伝統</t>
    <rPh sb="0" eb="2">
      <t>デントウ</t>
    </rPh>
    <phoneticPr fontId="1"/>
  </si>
  <si>
    <t>交付決定額
（改修）</t>
    <rPh sb="0" eb="2">
      <t>コウフ</t>
    </rPh>
    <rPh sb="2" eb="4">
      <t>ケッテイ</t>
    </rPh>
    <rPh sb="4" eb="5">
      <t>ガク</t>
    </rPh>
    <rPh sb="7" eb="9">
      <t>カイシュウ</t>
    </rPh>
    <phoneticPr fontId="30"/>
  </si>
  <si>
    <t>県産規格材</t>
    <rPh sb="0" eb="2">
      <t>ケンサン</t>
    </rPh>
    <rPh sb="2" eb="4">
      <t>キカク</t>
    </rPh>
    <rPh sb="4" eb="5">
      <t>ザイ</t>
    </rPh>
    <phoneticPr fontId="20"/>
  </si>
  <si>
    <t>確定額
(千円)</t>
    <rPh sb="0" eb="2">
      <t>カクテイ</t>
    </rPh>
    <rPh sb="2" eb="3">
      <t>ガク</t>
    </rPh>
    <rPh sb="3" eb="4">
      <t>キンガク</t>
    </rPh>
    <rPh sb="5" eb="7">
      <t>センエン</t>
    </rPh>
    <phoneticPr fontId="30"/>
  </si>
  <si>
    <t>実績減</t>
    <rPh sb="0" eb="2">
      <t>ジッセキ</t>
    </rPh>
    <rPh sb="2" eb="3">
      <t>ゲン</t>
    </rPh>
    <phoneticPr fontId="1"/>
  </si>
  <si>
    <t>交付確定額
（改修）</t>
    <rPh sb="0" eb="2">
      <t>コウフ</t>
    </rPh>
    <rPh sb="2" eb="4">
      <t>カクテイ</t>
    </rPh>
    <rPh sb="4" eb="5">
      <t>ガク</t>
    </rPh>
    <rPh sb="7" eb="9">
      <t>カイシュウ</t>
    </rPh>
    <phoneticPr fontId="30"/>
  </si>
  <si>
    <t>自動表示</t>
    <rPh sb="0" eb="2">
      <t>ジドウ</t>
    </rPh>
    <rPh sb="2" eb="4">
      <t>ヒョウジ</t>
    </rPh>
    <phoneticPr fontId="1"/>
  </si>
  <si>
    <t>自動表示</t>
    <rPh sb="0" eb="2">
      <t>ジドウ</t>
    </rPh>
    <rPh sb="2" eb="4">
      <t>ヒョウジ</t>
    </rPh>
    <phoneticPr fontId="20"/>
  </si>
  <si>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</si>
  <si>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</si>
  <si>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</si>
  <si>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0"/>
  </si>
  <si>
    <t>大字名、丁目、地番等</t>
    <rPh sb="4" eb="6">
      <t>チョウメ</t>
    </rPh>
    <rPh sb="7" eb="9">
      <t>チバン</t>
    </rPh>
    <rPh sb="9" eb="10">
      <t>トウ</t>
    </rPh>
    <phoneticPr fontId="30"/>
  </si>
  <si>
    <r>
      <t xml:space="preserve">実木材
使用量
</t>
    </r>
    <r>
      <rPr>
        <sz val="10"/>
        <color indexed="10"/>
        <rFont val="ＭＳ Ｐゴシック"/>
        <family val="3"/>
        <charset val="128"/>
      </rPr>
      <t>(m3)</t>
    </r>
    <rPh sb="0" eb="1">
      <t>ジツ</t>
    </rPh>
    <rPh sb="1" eb="3">
      <t>モクザイ</t>
    </rPh>
    <rPh sb="4" eb="7">
      <t>シヨウリョウ</t>
    </rPh>
    <phoneticPr fontId="30"/>
  </si>
  <si>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0"/>
  </si>
  <si>
    <t>補助金額
(千円)</t>
    <rPh sb="0" eb="3">
      <t>ホジョキン</t>
    </rPh>
    <rPh sb="3" eb="4">
      <t>ガク</t>
    </rPh>
    <rPh sb="6" eb="8">
      <t>センエン</t>
    </rPh>
    <phoneticPr fontId="30"/>
  </si>
  <si>
    <t xml:space="preserve">有
</t>
    <rPh sb="0" eb="1">
      <t>ア</t>
    </rPh>
    <phoneticPr fontId="30"/>
  </si>
  <si>
    <t>CLT使用量
(m3)</t>
    <rPh sb="3" eb="6">
      <t>シヨウリョウ</t>
    </rPh>
    <phoneticPr fontId="30"/>
  </si>
  <si>
    <t>算出値
(千円)</t>
    <rPh sb="0" eb="2">
      <t>サンシュツ</t>
    </rPh>
    <rPh sb="2" eb="3">
      <t>チ</t>
    </rPh>
    <rPh sb="5" eb="7">
      <t>センエン</t>
    </rPh>
    <phoneticPr fontId="30"/>
  </si>
  <si>
    <t>補助金額</t>
    <rPh sb="0" eb="3">
      <t>ホジョキン</t>
    </rPh>
    <rPh sb="3" eb="4">
      <t>ガク</t>
    </rPh>
    <phoneticPr fontId="1"/>
  </si>
  <si>
    <t>内外装材使用量
(m3)</t>
    <rPh sb="0" eb="3">
      <t>ナイガイソウ</t>
    </rPh>
    <rPh sb="3" eb="4">
      <t>ザイ</t>
    </rPh>
    <rPh sb="4" eb="7">
      <t>シヨウリョウ</t>
    </rPh>
    <phoneticPr fontId="30"/>
  </si>
  <si>
    <t>18歳以下</t>
    <rPh sb="2" eb="3">
      <t>サイ</t>
    </rPh>
    <rPh sb="3" eb="5">
      <t>イカ</t>
    </rPh>
    <phoneticPr fontId="30"/>
  </si>
  <si>
    <t>18歳以下なしかつ婚姻10年</t>
    <rPh sb="2" eb="3">
      <t>サイ</t>
    </rPh>
    <rPh sb="3" eb="5">
      <t>イカ</t>
    </rPh>
    <rPh sb="9" eb="11">
      <t>コンイン</t>
    </rPh>
    <rPh sb="13" eb="14">
      <t>ネン</t>
    </rPh>
    <phoneticPr fontId="30"/>
  </si>
  <si>
    <t xml:space="preserve">有
</t>
    <rPh sb="0" eb="1">
      <t>ア</t>
    </rPh>
    <phoneticPr fontId="30"/>
  </si>
  <si>
    <t>近居（同居除く）</t>
    <rPh sb="0" eb="2">
      <t>キンキョ</t>
    </rPh>
    <rPh sb="3" eb="5">
      <t>ドウキョ</t>
    </rPh>
    <rPh sb="5" eb="6">
      <t>ノゾ</t>
    </rPh>
    <phoneticPr fontId="30"/>
  </si>
  <si>
    <t>同居</t>
    <rPh sb="0" eb="2">
      <t>ドウキョ</t>
    </rPh>
    <phoneticPr fontId="30"/>
  </si>
  <si>
    <t>手刻み</t>
    <rPh sb="0" eb="1">
      <t>テ</t>
    </rPh>
    <rPh sb="1" eb="2">
      <t>キザ</t>
    </rPh>
    <phoneticPr fontId="30"/>
  </si>
  <si>
    <t>下見板張り</t>
    <rPh sb="0" eb="2">
      <t>シタミ</t>
    </rPh>
    <rPh sb="2" eb="3">
      <t>イタ</t>
    </rPh>
    <rPh sb="3" eb="4">
      <t>バ</t>
    </rPh>
    <phoneticPr fontId="30"/>
  </si>
  <si>
    <t>左官仕上げ</t>
    <rPh sb="0" eb="2">
      <t>サカン</t>
    </rPh>
    <rPh sb="2" eb="4">
      <t>シア</t>
    </rPh>
    <phoneticPr fontId="30"/>
  </si>
  <si>
    <t>国産瓦</t>
    <rPh sb="0" eb="2">
      <t>コクサン</t>
    </rPh>
    <rPh sb="2" eb="3">
      <t>ガワラ</t>
    </rPh>
    <phoneticPr fontId="30"/>
  </si>
  <si>
    <t>木製建具</t>
    <rPh sb="0" eb="2">
      <t>モクセイ</t>
    </rPh>
    <rPh sb="2" eb="4">
      <t>タテグ</t>
    </rPh>
    <phoneticPr fontId="30"/>
  </si>
  <si>
    <t>畳</t>
    <rPh sb="0" eb="1">
      <t>タタミ</t>
    </rPh>
    <phoneticPr fontId="30"/>
  </si>
  <si>
    <t>構造材現し</t>
    <rPh sb="0" eb="2">
      <t>コウゾウ</t>
    </rPh>
    <rPh sb="2" eb="3">
      <t>ザイ</t>
    </rPh>
    <rPh sb="3" eb="4">
      <t>アラワ</t>
    </rPh>
    <phoneticPr fontId="30"/>
  </si>
  <si>
    <t>ポイント数</t>
    <rPh sb="4" eb="5">
      <t>スウ</t>
    </rPh>
    <phoneticPr fontId="30"/>
  </si>
  <si>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</si>
  <si>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</si>
  <si>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</si>
  <si>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0"/>
  </si>
  <si>
    <t>内外装使用面積m2</t>
    <rPh sb="0" eb="3">
      <t>ナイガイソウ</t>
    </rPh>
    <rPh sb="3" eb="5">
      <t>シヨウ</t>
    </rPh>
    <rPh sb="5" eb="7">
      <t>メンセキ</t>
    </rPh>
    <phoneticPr fontId="30"/>
  </si>
  <si>
    <t>補助金額
（千円）</t>
    <rPh sb="0" eb="2">
      <t>ホジョ</t>
    </rPh>
    <rPh sb="2" eb="4">
      <t>キンガク</t>
    </rPh>
    <rPh sb="6" eb="8">
      <t>センエン</t>
    </rPh>
    <phoneticPr fontId="30"/>
  </si>
  <si>
    <r>
      <t>18歳以下</t>
    </r>
    <r>
      <rPr>
        <sz val="10"/>
        <color rgb="FFFF0000"/>
        <rFont val="ＭＳ Ｐゴシック"/>
        <family val="3"/>
        <charset val="128"/>
        <scheme val="minor"/>
      </rPr>
      <t>（選択式）</t>
    </r>
    <rPh sb="2" eb="3">
      <t>サイ</t>
    </rPh>
    <rPh sb="3" eb="5">
      <t>イカ</t>
    </rPh>
    <phoneticPr fontId="30"/>
  </si>
  <si>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0"/>
  </si>
  <si>
    <r>
      <t>近居（子育て世帯）</t>
    </r>
    <r>
      <rPr>
        <sz val="10"/>
        <color rgb="FFFF0000"/>
        <rFont val="ＭＳ Ｐゴシック"/>
        <family val="3"/>
        <charset val="128"/>
        <scheme val="minor"/>
      </rPr>
      <t>（選択式）</t>
    </r>
    <rPh sb="0" eb="2">
      <t>キンキョ</t>
    </rPh>
    <phoneticPr fontId="30"/>
  </si>
  <si>
    <r>
      <t>同居（子育て世帯）</t>
    </r>
    <r>
      <rPr>
        <sz val="10"/>
        <color rgb="FFFF0000"/>
        <rFont val="ＭＳ Ｐゴシック"/>
        <family val="3"/>
        <charset val="128"/>
        <scheme val="minor"/>
      </rPr>
      <t>（選択式）</t>
    </r>
    <rPh sb="0" eb="2">
      <t>ドウキョ</t>
    </rPh>
    <rPh sb="3" eb="5">
      <t>コソダ</t>
    </rPh>
    <rPh sb="6" eb="8">
      <t>セタイ</t>
    </rPh>
    <phoneticPr fontId="30"/>
  </si>
  <si>
    <r>
      <t>同居（親世帯）</t>
    </r>
    <r>
      <rPr>
        <sz val="10"/>
        <color rgb="FFFF0000"/>
        <rFont val="ＭＳ Ｐゴシック"/>
        <family val="3"/>
        <charset val="128"/>
        <scheme val="minor"/>
      </rPr>
      <t>（選択式）</t>
    </r>
    <rPh sb="0" eb="2">
      <t>ドウキョ</t>
    </rPh>
    <rPh sb="3" eb="4">
      <t>オヤ</t>
    </rPh>
    <rPh sb="4" eb="6">
      <t>セタイ</t>
    </rPh>
    <phoneticPr fontId="30"/>
  </si>
  <si>
    <t>大工
面積</t>
    <rPh sb="0" eb="2">
      <t>ダイク</t>
    </rPh>
    <rPh sb="3" eb="5">
      <t>メンセキ</t>
    </rPh>
    <phoneticPr fontId="30"/>
  </si>
  <si>
    <t>左官
面積</t>
    <rPh sb="0" eb="2">
      <t>サカン</t>
    </rPh>
    <rPh sb="3" eb="5">
      <t>メンセキ</t>
    </rPh>
    <phoneticPr fontId="30"/>
  </si>
  <si>
    <t>建具
面積</t>
    <rPh sb="0" eb="2">
      <t>タテグ</t>
    </rPh>
    <rPh sb="3" eb="5">
      <t>メンセキ</t>
    </rPh>
    <phoneticPr fontId="30"/>
  </si>
  <si>
    <t>補助金額計
（千円）</t>
    <rPh sb="0" eb="2">
      <t>ホジョ</t>
    </rPh>
    <rPh sb="2" eb="4">
      <t>キンガク</t>
    </rPh>
    <rPh sb="4" eb="5">
      <t>ケイ</t>
    </rPh>
    <rPh sb="7" eb="9">
      <t>センエン</t>
    </rPh>
    <phoneticPr fontId="30"/>
  </si>
  <si>
    <t>(千円）</t>
    <rPh sb="1" eb="3">
      <t>センエン</t>
    </rPh>
    <phoneticPr fontId="20"/>
  </si>
  <si>
    <t>着工</t>
    <rPh sb="0" eb="2">
      <t>チャッコウ</t>
    </rPh>
    <phoneticPr fontId="20"/>
  </si>
  <si>
    <t>完成</t>
    <rPh sb="0" eb="2">
      <t>カンセイ</t>
    </rPh>
    <phoneticPr fontId="20"/>
  </si>
  <si>
    <t>日付</t>
    <rPh sb="0" eb="2">
      <t>ヒヅケ</t>
    </rPh>
    <phoneticPr fontId="20"/>
  </si>
  <si>
    <t>金額</t>
    <rPh sb="0" eb="2">
      <t>キンガク</t>
    </rPh>
    <phoneticPr fontId="20"/>
  </si>
  <si>
    <t>社名等</t>
    <rPh sb="0" eb="2">
      <t>シャメイ</t>
    </rPh>
    <rPh sb="2" eb="3">
      <t>トウ</t>
    </rPh>
    <phoneticPr fontId="30"/>
  </si>
  <si>
    <t>所在地</t>
    <rPh sb="0" eb="3">
      <t>ショザイチ</t>
    </rPh>
    <phoneticPr fontId="30"/>
  </si>
  <si>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</si>
  <si>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</si>
  <si>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0"/>
  </si>
  <si>
    <r>
      <t xml:space="preserve">要・不要
</t>
    </r>
    <r>
      <rPr>
        <sz val="10"/>
        <color rgb="FFFF0000"/>
        <rFont val="ＭＳ Ｐゴシック"/>
        <family val="3"/>
        <charset val="128"/>
        <scheme val="minor"/>
      </rPr>
      <t>（選択式）</t>
    </r>
    <rPh sb="0" eb="1">
      <t>ヨウ</t>
    </rPh>
    <rPh sb="2" eb="4">
      <t>フヨウ</t>
    </rPh>
    <phoneticPr fontId="30"/>
  </si>
  <si>
    <t>承認日</t>
    <rPh sb="0" eb="2">
      <t>ショウニン</t>
    </rPh>
    <phoneticPr fontId="30"/>
  </si>
  <si>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</si>
  <si>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</si>
  <si>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</si>
  <si>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</si>
  <si>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</si>
  <si>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</si>
  <si>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</si>
  <si>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</si>
  <si>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</si>
  <si>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</si>
  <si>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</si>
  <si>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</si>
  <si>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0"/>
  </si>
  <si>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</si>
  <si>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</si>
  <si>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</si>
  <si>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</si>
  <si>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</si>
  <si>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</si>
  <si>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</si>
  <si>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0"/>
  </si>
  <si>
    <t>婚姻後10年以内</t>
    <rPh sb="0" eb="3">
      <t>コンインゴ</t>
    </rPh>
    <rPh sb="5" eb="6">
      <t>ネン</t>
    </rPh>
    <rPh sb="6" eb="8">
      <t>イナイ</t>
    </rPh>
    <phoneticPr fontId="30"/>
  </si>
  <si>
    <t>有
有なら1を選択</t>
    <rPh sb="0" eb="1">
      <t>ア</t>
    </rPh>
    <rPh sb="3" eb="4">
      <t>ア</t>
    </rPh>
    <rPh sb="8" eb="10">
      <t>センタク</t>
    </rPh>
    <phoneticPr fontId="30"/>
  </si>
  <si>
    <t>近居（子育て世帯）</t>
    <rPh sb="0" eb="2">
      <t>キンキョ</t>
    </rPh>
    <phoneticPr fontId="30"/>
  </si>
  <si>
    <t>同居（子育て世帯）</t>
    <rPh sb="0" eb="2">
      <t>ドウキョ</t>
    </rPh>
    <rPh sb="3" eb="5">
      <t>コソダ</t>
    </rPh>
    <rPh sb="6" eb="8">
      <t>セタイ</t>
    </rPh>
    <phoneticPr fontId="30"/>
  </si>
  <si>
    <t>同居（親世帯）</t>
    <rPh sb="0" eb="2">
      <t>ドウキョ</t>
    </rPh>
    <rPh sb="3" eb="4">
      <t>オヤ</t>
    </rPh>
    <rPh sb="4" eb="6">
      <t>セタイ</t>
    </rPh>
    <phoneticPr fontId="30"/>
  </si>
  <si>
    <t>(区分）
実績・取消・取下</t>
    <rPh sb="1" eb="3">
      <t>クブン</t>
    </rPh>
    <rPh sb="5" eb="7">
      <t>ジッセキ</t>
    </rPh>
    <rPh sb="8" eb="10">
      <t>トリケシ</t>
    </rPh>
    <rPh sb="11" eb="13">
      <t>トリサ</t>
    </rPh>
    <phoneticPr fontId="30"/>
  </si>
  <si>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0"/>
  </si>
  <si>
    <t>額の
確定日</t>
    <rPh sb="0" eb="1">
      <t>ガク</t>
    </rPh>
    <rPh sb="3" eb="5">
      <t>カクテイ</t>
    </rPh>
    <rPh sb="5" eb="6">
      <t>ビ</t>
    </rPh>
    <phoneticPr fontId="20"/>
  </si>
  <si>
    <t>支払日</t>
    <rPh sb="0" eb="3">
      <t>シハライビ</t>
    </rPh>
    <phoneticPr fontId="30"/>
  </si>
  <si>
    <t>交付決定額</t>
    <rPh sb="0" eb="2">
      <t>コウフ</t>
    </rPh>
    <rPh sb="2" eb="4">
      <t>ケッテイ</t>
    </rPh>
    <rPh sb="4" eb="5">
      <t>ガク</t>
    </rPh>
    <phoneticPr fontId="30"/>
  </si>
  <si>
    <t>確定・支払金額
（千円）</t>
    <rPh sb="0" eb="2">
      <t>カクテイ</t>
    </rPh>
    <rPh sb="3" eb="5">
      <t>シハライ</t>
    </rPh>
    <rPh sb="5" eb="7">
      <t>キンガク</t>
    </rPh>
    <rPh sb="9" eb="11">
      <t>センエン</t>
    </rPh>
    <phoneticPr fontId="20"/>
  </si>
  <si>
    <t>実績減
（千円）</t>
    <rPh sb="0" eb="2">
      <t>ジッセキ</t>
    </rPh>
    <rPh sb="2" eb="3">
      <t>ゲン</t>
    </rPh>
    <rPh sb="5" eb="7">
      <t>センエン</t>
    </rPh>
    <phoneticPr fontId="20"/>
  </si>
  <si>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</si>
  <si>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</si>
  <si>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</si>
  <si>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</si>
  <si>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</si>
  <si>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</si>
  <si>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</si>
  <si>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</si>
  <si>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</si>
  <si>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</si>
  <si>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</si>
  <si>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</si>
  <si>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</si>
  <si>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</si>
  <si>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</si>
  <si>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</si>
  <si>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</si>
  <si>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</si>
  <si>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</si>
  <si>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</si>
  <si>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</si>
  <si>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</si>
  <si>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</si>
  <si>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</si>
  <si>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</si>
  <si>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</si>
  <si>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</si>
  <si>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</si>
  <si>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</si>
  <si>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</si>
  <si>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</si>
  <si>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</si>
  <si>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</si>
  <si>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</si>
  <si>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</si>
  <si>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</si>
  <si>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</si>
  <si>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</si>
  <si>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</si>
  <si>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</si>
  <si>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</si>
  <si>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</si>
  <si>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</si>
  <si>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
  </si>
  <si>
    <t>入力行</t>
    <rPh sb="0" eb="2">
      <t>ニュウリョク</t>
    </rPh>
    <rPh sb="2" eb="3">
      <t>ギョウ</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</si>
  <si>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</si>
  <si>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</si>
  <si>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令和</t>
    <rPh sb="0" eb="2">
      <t>レイワ</t>
    </rPh>
    <phoneticPr fontId="1"/>
  </si>
  <si>
    <t>補助金の名称</t>
    <rPh sb="0" eb="3">
      <t>ホジョキン</t>
    </rPh>
    <rPh sb="4" eb="6">
      <t>メイショウ</t>
    </rPh>
    <phoneticPr fontId="1"/>
  </si>
  <si>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</si>
  <si>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</si>
  <si>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</si>
  <si>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令和5年度とっとり住まいる支援事業台帳</t>
    <rPh sb="0" eb="2">
      <t>レイワ</t>
    </rPh>
    <rPh sb="17" eb="19">
      <t>ダイチョウ</t>
    </rPh>
    <phoneticPr fontId="1"/>
  </si>
  <si>
    <t>〇</t>
  </si>
  <si>
    <t>→FC列から範囲選択でコピぺ（列全体をコピペしないこと！）</t>
    <rPh sb="3" eb="4">
      <t>レツ</t>
    </rPh>
    <rPh sb="6" eb="10">
      <t>ハンイセンタク</t>
    </rPh>
    <rPh sb="15" eb="18">
      <t>レツゼンタイ</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</si>
  <si>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1"/>
  </si>
  <si>
    <t>鳥取県産材活用協議会が発行する県産材の産地証明書の写し</t>
    <rPh sb="15" eb="18">
      <t>ケンサンザイ</t>
    </rPh>
    <rPh sb="19" eb="21">
      <t>サンチ</t>
    </rPh>
    <rPh sb="21" eb="24">
      <t>ショウメイショ</t>
    </rPh>
    <rPh sb="25" eb="26">
      <t>ウツ</t>
    </rPh>
    <phoneticPr fontId="1"/>
  </si>
  <si>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1"/>
  </si>
  <si>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</si>
  <si>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</si>
  <si>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t>国の子育て世帯等支援補助金利用者である</t>
    <rPh sb="0" eb="1">
      <t>クニ</t>
    </rPh>
    <rPh sb="2" eb="4">
      <t>コソダ</t>
    </rPh>
    <rPh sb="5" eb="8">
      <t>セタイトウ</t>
    </rPh>
    <rPh sb="8" eb="10">
      <t>シエン</t>
    </rPh>
    <rPh sb="10" eb="13">
      <t>ホジョキン</t>
    </rPh>
    <rPh sb="13" eb="16">
      <t>リヨウシャ</t>
    </rPh>
    <phoneticPr fontId="1"/>
  </si>
  <si>
    <t>過去に本事業の助成を受けていない住宅又は当該補助金を受けた住宅で助成（額の確定日）から10年以上が経過していること。</t>
    <rPh sb="0" eb="2">
      <t>カコ</t>
    </rPh>
    <rPh sb="3" eb="4">
      <t>ホン</t>
    </rPh>
    <rPh sb="4" eb="6">
      <t>ジギョウ</t>
    </rPh>
    <rPh sb="7" eb="9">
      <t>ジョセイ</t>
    </rPh>
    <rPh sb="10" eb="11">
      <t>ウ</t>
    </rPh>
    <rPh sb="16" eb="18">
      <t>ジュウタク</t>
    </rPh>
    <rPh sb="18" eb="19">
      <t>マタ</t>
    </rPh>
    <rPh sb="20" eb="22">
      <t>トウガイ</t>
    </rPh>
    <rPh sb="22" eb="25">
      <t>ホジョキン</t>
    </rPh>
    <rPh sb="26" eb="27">
      <t>ウ</t>
    </rPh>
    <rPh sb="29" eb="31">
      <t>ジュウタク</t>
    </rPh>
    <rPh sb="32" eb="34">
      <t>ジョセイ</t>
    </rPh>
    <rPh sb="35" eb="36">
      <t>ガク</t>
    </rPh>
    <rPh sb="37" eb="40">
      <t>カクテイビ</t>
    </rPh>
    <rPh sb="45" eb="46">
      <t>ネン</t>
    </rPh>
    <rPh sb="46" eb="48">
      <t>イジョウ</t>
    </rPh>
    <rPh sb="49" eb="51">
      <t>ケイカ</t>
    </rPh>
    <phoneticPr fontId="1"/>
  </si>
  <si>
    <t>地域建築技能活用</t>
    <rPh sb="0" eb="4">
      <t>チイキケンチク</t>
    </rPh>
    <rPh sb="4" eb="6">
      <t>ギノウ</t>
    </rPh>
    <rPh sb="6" eb="8">
      <t>カツヨウ</t>
    </rPh>
    <phoneticPr fontId="1"/>
  </si>
  <si>
    <t>令和４年度とっとり住まいる支援事業台帳</t>
    <rPh sb="0" eb="2">
      <t>レイワ</t>
    </rPh>
    <rPh sb="17" eb="19">
      <t>ダイチョウ</t>
    </rPh>
    <phoneticPr fontId="1"/>
  </si>
  <si>
    <t>ヤング係数確認構造材</t>
    <rPh sb="3" eb="5">
      <t>ケイスウ</t>
    </rPh>
    <rPh sb="5" eb="7">
      <t>カクニン</t>
    </rPh>
    <rPh sb="7" eb="10">
      <t>コウゾウザイ</t>
    </rPh>
    <phoneticPr fontId="20"/>
  </si>
  <si>
    <t>地域建築技能活用（４ポイント以上該当）</t>
    <rPh sb="0" eb="2">
      <t>チイキ</t>
    </rPh>
    <rPh sb="2" eb="4">
      <t>ケンチク</t>
    </rPh>
    <rPh sb="4" eb="6">
      <t>ギノウ</t>
    </rPh>
    <rPh sb="6" eb="8">
      <t>カツヨウ</t>
    </rPh>
    <rPh sb="14" eb="16">
      <t>イジョウ</t>
    </rPh>
    <rPh sb="16" eb="18">
      <t>ガイトウ</t>
    </rPh>
    <phoneticPr fontId="20"/>
  </si>
  <si>
    <t>地域建築技能活用</t>
    <rPh sb="0" eb="6">
      <t>チイキケンチクギノウ</t>
    </rPh>
    <rPh sb="6" eb="8">
      <t>カツヨウ</t>
    </rPh>
    <phoneticPr fontId="1"/>
  </si>
  <si>
    <t>横架材
使用量
(m3)</t>
    <rPh sb="0" eb="3">
      <t>オウカザイ</t>
    </rPh>
    <rPh sb="4" eb="7">
      <t>シヨウリョウ</t>
    </rPh>
    <phoneticPr fontId="30"/>
  </si>
  <si>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0"/>
  </si>
  <si>
    <t>機械等級区分構造材を最も多く供給した製材所名</t>
    <rPh sb="0" eb="4">
      <t>キカイトウキュウ</t>
    </rPh>
    <rPh sb="4" eb="6">
      <t>クブン</t>
    </rPh>
    <rPh sb="6" eb="9">
      <t>コウゾウザイ</t>
    </rPh>
    <phoneticPr fontId="1"/>
  </si>
  <si>
    <t>→DA列から範囲選択でコピぺ（行全体をコピペしないこと！）</t>
    <rPh sb="3" eb="4">
      <t>レツ</t>
    </rPh>
    <rPh sb="6" eb="10">
      <t>ハンイセンタク</t>
    </rPh>
    <rPh sb="15" eb="16">
      <t>ギョウ</t>
    </rPh>
    <rPh sb="16" eb="18">
      <t>ゼンタイ</t>
    </rPh>
    <phoneticPr fontId="1"/>
  </si>
  <si>
    <t>様式第６号の３</t>
    <rPh sb="0" eb="2">
      <t>ヨウシキ</t>
    </rPh>
    <rPh sb="2" eb="3">
      <t>ダイ</t>
    </rPh>
    <rPh sb="4" eb="5">
      <t>ゴウ</t>
    </rPh>
    <phoneticPr fontId="1"/>
  </si>
  <si>
    <t>令和7年4月1日改正様式</t>
    <rPh sb="0" eb="2">
      <t>レイワ</t>
    </rPh>
    <rPh sb="3" eb="4">
      <t>ネン</t>
    </rPh>
    <rPh sb="5" eb="6">
      <t>ガツ</t>
    </rPh>
    <rPh sb="7" eb="8">
      <t>ニチ</t>
    </rPh>
    <rPh sb="8" eb="10">
      <t>カイセイ</t>
    </rPh>
    <rPh sb="10" eb="12">
      <t>ヨウシキ</t>
    </rPh>
    <phoneticPr fontId="1"/>
  </si>
  <si>
    <t>申請区分</t>
    <rPh sb="0" eb="2">
      <t>シンセイ</t>
    </rPh>
    <rPh sb="2" eb="4">
      <t>クブン</t>
    </rPh>
    <phoneticPr fontId="1"/>
  </si>
  <si>
    <t>交付申請時</t>
    <rPh sb="0" eb="5">
      <t>コウフシンセイジ</t>
    </rPh>
    <phoneticPr fontId="1"/>
  </si>
  <si>
    <t>Re NE-ST</t>
    <phoneticPr fontId="1"/>
  </si>
  <si>
    <t>改修区分</t>
    <rPh sb="0" eb="2">
      <t>カイシュウ</t>
    </rPh>
    <rPh sb="2" eb="4">
      <t>クブン</t>
    </rPh>
    <phoneticPr fontId="1"/>
  </si>
  <si>
    <t>申請者氏名</t>
    <rPh sb="0" eb="3">
      <t>シンセイシャ</t>
    </rPh>
    <rPh sb="3" eb="5">
      <t>シメイ</t>
    </rPh>
    <phoneticPr fontId="1"/>
  </si>
  <si>
    <t>実績報告時</t>
    <rPh sb="0" eb="5">
      <t>ジッセキホウコクジ</t>
    </rPh>
    <phoneticPr fontId="1"/>
  </si>
  <si>
    <t>ゾーン改修</t>
    <rPh sb="3" eb="5">
      <t>カイシュウ</t>
    </rPh>
    <phoneticPr fontId="1"/>
  </si>
  <si>
    <t>国省エネ基準改修</t>
    <rPh sb="0" eb="2">
      <t>クニショウ</t>
    </rPh>
    <rPh sb="4" eb="8">
      <t>キジュンカイシュウ</t>
    </rPh>
    <phoneticPr fontId="1"/>
  </si>
  <si>
    <t>＜補助対象経費の算出＞</t>
    <rPh sb="1" eb="5">
      <t>ホジョタイショウ</t>
    </rPh>
    <rPh sb="5" eb="7">
      <t>ケイヒ</t>
    </rPh>
    <rPh sb="8" eb="10">
      <t>サンシュツ</t>
    </rPh>
    <phoneticPr fontId="1"/>
  </si>
  <si>
    <t>①断熱材</t>
    <rPh sb="1" eb="4">
      <t>ダンネツザイ</t>
    </rPh>
    <phoneticPr fontId="1"/>
  </si>
  <si>
    <t>部位</t>
    <rPh sb="0" eb="2">
      <t>ブイ</t>
    </rPh>
    <phoneticPr fontId="1"/>
  </si>
  <si>
    <t>断熱材区分</t>
    <rPh sb="0" eb="3">
      <t>ダンネツザイ</t>
    </rPh>
    <rPh sb="3" eb="5">
      <t>クブン</t>
    </rPh>
    <phoneticPr fontId="1"/>
  </si>
  <si>
    <t>熱伝導率(W/m･K)</t>
    <rPh sb="0" eb="4">
      <t>ネツデンドウリツ</t>
    </rPh>
    <phoneticPr fontId="1"/>
  </si>
  <si>
    <t>厚さ（mm)</t>
    <rPh sb="0" eb="1">
      <t>アツ</t>
    </rPh>
    <phoneticPr fontId="1"/>
  </si>
  <si>
    <t>熱抵抗(㎡･K/W)</t>
    <rPh sb="0" eb="3">
      <t>ネツテイコウ</t>
    </rPh>
    <phoneticPr fontId="1"/>
  </si>
  <si>
    <t>施工面積(㎡)</t>
    <rPh sb="0" eb="4">
      <t>セコウメンセキ</t>
    </rPh>
    <phoneticPr fontId="1"/>
  </si>
  <si>
    <t>×</t>
    <phoneticPr fontId="1"/>
  </si>
  <si>
    <t>補助基準単価</t>
    <rPh sb="0" eb="4">
      <t>ホジョキジュン</t>
    </rPh>
    <rPh sb="4" eb="6">
      <t>タンカ</t>
    </rPh>
    <phoneticPr fontId="1"/>
  </si>
  <si>
    <t>補助対象経費</t>
    <rPh sb="0" eb="4">
      <t>ホジョタイショウ</t>
    </rPh>
    <rPh sb="4" eb="6">
      <t>ケイヒ</t>
    </rPh>
    <phoneticPr fontId="1"/>
  </si>
  <si>
    <t>天井</t>
    <rPh sb="0" eb="2">
      <t>テンジョウ</t>
    </rPh>
    <phoneticPr fontId="1"/>
  </si>
  <si>
    <t>1.0～2.0</t>
    <phoneticPr fontId="1"/>
  </si>
  <si>
    <t>2.0～3.0</t>
    <phoneticPr fontId="1"/>
  </si>
  <si>
    <t>3.0～4.0</t>
    <phoneticPr fontId="1"/>
  </si>
  <si>
    <t>4.0～5.0</t>
    <phoneticPr fontId="1"/>
  </si>
  <si>
    <t>5.0～</t>
    <phoneticPr fontId="1"/>
  </si>
  <si>
    <t>ボード系断熱材</t>
    <rPh sb="3" eb="4">
      <t>ケイ</t>
    </rPh>
    <rPh sb="4" eb="7">
      <t>ダンネツザイ</t>
    </rPh>
    <phoneticPr fontId="1"/>
  </si>
  <si>
    <t>繊維系断熱材</t>
    <rPh sb="0" eb="3">
      <t>センイケイ</t>
    </rPh>
    <rPh sb="3" eb="6">
      <t>ダンネツザイ</t>
    </rPh>
    <phoneticPr fontId="1"/>
  </si>
  <si>
    <t>外壁</t>
    <rPh sb="0" eb="2">
      <t>ガイヘキ</t>
    </rPh>
    <phoneticPr fontId="1"/>
  </si>
  <si>
    <t>吹付断熱材</t>
    <rPh sb="0" eb="2">
      <t>フキツケ</t>
    </rPh>
    <rPh sb="2" eb="5">
      <t>ダンネツザイ</t>
    </rPh>
    <phoneticPr fontId="1"/>
  </si>
  <si>
    <t>床</t>
    <rPh sb="0" eb="1">
      <t>ユカ</t>
    </rPh>
    <phoneticPr fontId="1"/>
  </si>
  <si>
    <t>②窓</t>
    <rPh sb="1" eb="2">
      <t>マド</t>
    </rPh>
    <phoneticPr fontId="1"/>
  </si>
  <si>
    <t>平面図の
窓番号</t>
    <rPh sb="0" eb="3">
      <t>ヘイメンズ</t>
    </rPh>
    <rPh sb="5" eb="8">
      <t>マドバンゴウ</t>
    </rPh>
    <phoneticPr fontId="1"/>
  </si>
  <si>
    <t>窓改修区分</t>
    <rPh sb="0" eb="1">
      <t>マド</t>
    </rPh>
    <rPh sb="1" eb="3">
      <t>カイシュウ</t>
    </rPh>
    <rPh sb="3" eb="5">
      <t>クブン</t>
    </rPh>
    <phoneticPr fontId="1"/>
  </si>
  <si>
    <t>窓サイズ(mm)</t>
    <rPh sb="0" eb="1">
      <t>マド</t>
    </rPh>
    <phoneticPr fontId="1"/>
  </si>
  <si>
    <t>熱貫流率(W/㎡･K)</t>
    <rPh sb="0" eb="1">
      <t>ネツ</t>
    </rPh>
    <rPh sb="1" eb="3">
      <t>カンリュウ</t>
    </rPh>
    <rPh sb="3" eb="4">
      <t>リツ</t>
    </rPh>
    <phoneticPr fontId="1"/>
  </si>
  <si>
    <t>窓面積(㎡)</t>
    <rPh sb="0" eb="1">
      <t>マド</t>
    </rPh>
    <rPh sb="1" eb="3">
      <t>メンセキ</t>
    </rPh>
    <phoneticPr fontId="1"/>
  </si>
  <si>
    <t>補助対象経費</t>
    <rPh sb="0" eb="2">
      <t>ホジョ</t>
    </rPh>
    <rPh sb="2" eb="6">
      <t>タイショウケイヒ</t>
    </rPh>
    <phoneticPr fontId="1"/>
  </si>
  <si>
    <t>幅</t>
    <rPh sb="0" eb="1">
      <t>ハバ</t>
    </rPh>
    <phoneticPr fontId="1"/>
  </si>
  <si>
    <t>高さ</t>
    <rPh sb="0" eb="1">
      <t>タカ</t>
    </rPh>
    <phoneticPr fontId="1"/>
  </si>
  <si>
    <t>2.33～1.91</t>
    <phoneticPr fontId="1"/>
  </si>
  <si>
    <t>1.90～1.61</t>
    <phoneticPr fontId="1"/>
  </si>
  <si>
    <t>1.60～1.31</t>
    <phoneticPr fontId="1"/>
  </si>
  <si>
    <t>1.30～</t>
    <phoneticPr fontId="1"/>
  </si>
  <si>
    <t>窓取替</t>
    <rPh sb="0" eb="1">
      <t>マド</t>
    </rPh>
    <rPh sb="1" eb="3">
      <t>トリカエ</t>
    </rPh>
    <phoneticPr fontId="1"/>
  </si>
  <si>
    <t>樹脂製内窓取付</t>
    <rPh sb="0" eb="3">
      <t>ジュシセイ</t>
    </rPh>
    <rPh sb="3" eb="5">
      <t>ウチマド</t>
    </rPh>
    <rPh sb="5" eb="7">
      <t>トリツケ</t>
    </rPh>
    <phoneticPr fontId="1"/>
  </si>
  <si>
    <t>県産材木製内窓取付</t>
    <rPh sb="0" eb="3">
      <t>ケンサンザイ</t>
    </rPh>
    <rPh sb="3" eb="5">
      <t>モクセイ</t>
    </rPh>
    <rPh sb="5" eb="7">
      <t>ウチマド</t>
    </rPh>
    <rPh sb="7" eb="9">
      <t>トリツケ</t>
    </rPh>
    <phoneticPr fontId="1"/>
  </si>
  <si>
    <t>③玄関ドア（勝手口等を除く）</t>
    <rPh sb="1" eb="3">
      <t>ゲンカン</t>
    </rPh>
    <rPh sb="6" eb="10">
      <t>カッテグチトウ</t>
    </rPh>
    <rPh sb="11" eb="12">
      <t>ノゾ</t>
    </rPh>
    <phoneticPr fontId="1"/>
  </si>
  <si>
    <t>平面図の
番号</t>
    <rPh sb="0" eb="3">
      <t>ヘイメンズ</t>
    </rPh>
    <rPh sb="5" eb="7">
      <t>バンゴウ</t>
    </rPh>
    <phoneticPr fontId="1"/>
  </si>
  <si>
    <t>ドア工事費(円)</t>
    <rPh sb="2" eb="5">
      <t>コウジヒ</t>
    </rPh>
    <rPh sb="6" eb="7">
      <t>エン</t>
    </rPh>
    <phoneticPr fontId="1"/>
  </si>
  <si>
    <t>取替</t>
    <rPh sb="0" eb="2">
      <t>トリカエ</t>
    </rPh>
    <phoneticPr fontId="1"/>
  </si>
  <si>
    <t>カバー工法</t>
    <rPh sb="3" eb="5">
      <t>コウホウ</t>
    </rPh>
    <phoneticPr fontId="1"/>
  </si>
  <si>
    <t>補助基準額による対象経費
（自動計算）</t>
    <rPh sb="0" eb="2">
      <t>ホジョ</t>
    </rPh>
    <rPh sb="2" eb="4">
      <t>キジュン</t>
    </rPh>
    <rPh sb="4" eb="5">
      <t>ガク</t>
    </rPh>
    <rPh sb="8" eb="10">
      <t>タイショウ</t>
    </rPh>
    <rPh sb="10" eb="12">
      <t>ケイヒ</t>
    </rPh>
    <rPh sb="14" eb="18">
      <t>ジドウケイサン</t>
    </rPh>
    <phoneticPr fontId="1"/>
  </si>
  <si>
    <t>　　　　　　　　いずれか低い額が補助対象経費となります。</t>
    <rPh sb="12" eb="13">
      <t>ヒク</t>
    </rPh>
    <rPh sb="14" eb="15">
      <t>ガク</t>
    </rPh>
    <rPh sb="16" eb="20">
      <t>ホジョタイショウ</t>
    </rPh>
    <rPh sb="20" eb="22">
      <t>ケイヒ</t>
    </rPh>
    <phoneticPr fontId="1"/>
  </si>
  <si>
    <t>工事請負契約金額
（購入契約金額）</t>
    <rPh sb="0" eb="4">
      <t>コウジウケオイ</t>
    </rPh>
    <rPh sb="4" eb="6">
      <t>ケイヤク</t>
    </rPh>
    <rPh sb="6" eb="8">
      <t>キンガク</t>
    </rPh>
    <rPh sb="10" eb="12">
      <t>コウニュウ</t>
    </rPh>
    <rPh sb="12" eb="14">
      <t>ケイヤク</t>
    </rPh>
    <rPh sb="14" eb="16">
      <t>キンガク</t>
    </rPh>
    <phoneticPr fontId="1"/>
  </si>
  <si>
    <t>うち断熱工事費</t>
    <rPh sb="2" eb="4">
      <t>ダンネツ</t>
    </rPh>
    <rPh sb="4" eb="7">
      <t>コウジヒ</t>
    </rPh>
    <phoneticPr fontId="1"/>
  </si>
  <si>
    <t>←①断熱材＋②窓の工事費の合計（③玄関ドアは除く）</t>
    <rPh sb="2" eb="4">
      <t>ダンネツ</t>
    </rPh>
    <rPh sb="4" eb="5">
      <t>ザイ</t>
    </rPh>
    <rPh sb="7" eb="8">
      <t>マド</t>
    </rPh>
    <rPh sb="9" eb="12">
      <t>コウジヒ</t>
    </rPh>
    <rPh sb="13" eb="15">
      <t>ゴウケイ</t>
    </rPh>
    <rPh sb="17" eb="19">
      <t>ゲンカン</t>
    </rPh>
    <rPh sb="22" eb="23">
      <t>ノゾ</t>
    </rPh>
    <phoneticPr fontId="1"/>
  </si>
  <si>
    <r>
      <t xml:space="preserve">断熱工事費
</t>
    </r>
    <r>
      <rPr>
        <sz val="9"/>
        <color theme="1"/>
        <rFont val="ＭＳ Ｐゴシック"/>
        <family val="3"/>
        <charset val="128"/>
      </rPr>
      <t>(玄関ドア補助対象経費を含む）</t>
    </r>
    <rPh sb="0" eb="2">
      <t>ダンネツ</t>
    </rPh>
    <rPh sb="2" eb="5">
      <t>コウジヒ</t>
    </rPh>
    <rPh sb="7" eb="9">
      <t>ゲンカン</t>
    </rPh>
    <rPh sb="11" eb="17">
      <t>ホジョタイショウケイヒ</t>
    </rPh>
    <rPh sb="18" eb="19">
      <t>フク</t>
    </rPh>
    <phoneticPr fontId="1"/>
  </si>
  <si>
    <t>実績報告時</t>
    <rPh sb="0" eb="2">
      <t>ジッセキ</t>
    </rPh>
    <rPh sb="2" eb="4">
      <t>ホウコク</t>
    </rPh>
    <rPh sb="4" eb="5">
      <t>ジ</t>
    </rPh>
    <phoneticPr fontId="1"/>
  </si>
  <si>
    <t>当該改修工事は省エネ改修を含む工事である。</t>
    <rPh sb="0" eb="4">
      <t>トウガイカイシュウ</t>
    </rPh>
    <rPh sb="4" eb="6">
      <t>コウジ</t>
    </rPh>
    <rPh sb="7" eb="8">
      <t>ショウ</t>
    </rPh>
    <rPh sb="10" eb="12">
      <t>カイシュウ</t>
    </rPh>
    <rPh sb="13" eb="14">
      <t>フク</t>
    </rPh>
    <rPh sb="15" eb="17">
      <t>コウジ</t>
    </rPh>
    <phoneticPr fontId="1"/>
  </si>
  <si>
    <t>性能区分</t>
    <rPh sb="0" eb="2">
      <t>セイノウ</t>
    </rPh>
    <rPh sb="2" eb="4">
      <t>クブン</t>
    </rPh>
    <phoneticPr fontId="1"/>
  </si>
  <si>
    <t>健康省エネ改修</t>
    <rPh sb="0" eb="3">
      <t>ケンコウショウ</t>
    </rPh>
    <rPh sb="5" eb="7">
      <t>カイシュウ</t>
    </rPh>
    <phoneticPr fontId="1"/>
  </si>
  <si>
    <t>とっとり健康省エネ住宅改修支援事業補助金実績報告書</t>
    <rPh sb="4" eb="6">
      <t>ケンコウ</t>
    </rPh>
    <rPh sb="6" eb="7">
      <t>ショウ</t>
    </rPh>
    <rPh sb="9" eb="11">
      <t>ジュウタク</t>
    </rPh>
    <rPh sb="11" eb="13">
      <t>カイシュウ</t>
    </rPh>
    <rPh sb="13" eb="15">
      <t>シエン</t>
    </rPh>
    <rPh sb="15" eb="17">
      <t>ジギョウ</t>
    </rPh>
    <rPh sb="17" eb="20">
      <t>ホジョキン</t>
    </rPh>
    <rPh sb="20" eb="22">
      <t>ジッセキ</t>
    </rPh>
    <rPh sb="22" eb="25">
      <t>ホウコクショ</t>
    </rPh>
    <phoneticPr fontId="1"/>
  </si>
  <si>
    <t>実績報告用　令和7年4月1日改正</t>
    <rPh sb="0" eb="2">
      <t>ジッセキ</t>
    </rPh>
    <rPh sb="2" eb="5">
      <t>ホウコクヨウ</t>
    </rPh>
    <rPh sb="6" eb="8">
      <t>レイワ</t>
    </rPh>
    <rPh sb="9" eb="10">
      <t>ネン</t>
    </rPh>
    <rPh sb="11" eb="12">
      <t>ガツ</t>
    </rPh>
    <rPh sb="13" eb="16">
      <t>ニチカイセイ</t>
    </rPh>
    <phoneticPr fontId="1"/>
  </si>
  <si>
    <t>※国の子育て世帯等支援補助金利用者にあっては０円となります</t>
    <phoneticPr fontId="1"/>
  </si>
  <si>
    <t>含水率の測定結果写真又は鳥取県木材協同組合連合会が発行する日本農林規格県産材（ＪＡＳ格付及び含水率20%以下）であることを証明する書類</t>
  </si>
  <si>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</si>
  <si>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</si>
  <si>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その他必要に応じて別途書類を求める場合があります。</t>
    <rPh sb="2" eb="3">
      <t>タ</t>
    </rPh>
    <rPh sb="3" eb="5">
      <t>ヒツヨウ</t>
    </rPh>
    <rPh sb="6" eb="7">
      <t>オウ</t>
    </rPh>
    <rPh sb="9" eb="11">
      <t>ベット</t>
    </rPh>
    <rPh sb="11" eb="13">
      <t>ショルイ</t>
    </rPh>
    <rPh sb="14" eb="15">
      <t>モト</t>
    </rPh>
    <rPh sb="17" eb="19">
      <t>バアイ</t>
    </rPh>
    <phoneticPr fontId="1"/>
  </si>
  <si>
    <t>とっとり住まいる支援事業兼とっとり健康省エネ住宅改修支援事業建設等報告書【改修用】</t>
    <rPh sb="4" eb="5">
      <t>ス</t>
    </rPh>
    <rPh sb="8" eb="12">
      <t>シエンジギョウ</t>
    </rPh>
    <rPh sb="12" eb="13">
      <t>ケン</t>
    </rPh>
    <rPh sb="17" eb="20">
      <t>ケンコウショウ</t>
    </rPh>
    <rPh sb="22" eb="24">
      <t>ジュウタク</t>
    </rPh>
    <rPh sb="24" eb="26">
      <t>カイシュウ</t>
    </rPh>
    <rPh sb="26" eb="30">
      <t>シエンジギョウ</t>
    </rPh>
    <rPh sb="30" eb="32">
      <t>ケンセツ</t>
    </rPh>
    <rPh sb="32" eb="33">
      <t>トウ</t>
    </rPh>
    <rPh sb="33" eb="35">
      <t>ホウコク</t>
    </rPh>
    <rPh sb="35" eb="36">
      <t>ショ</t>
    </rPh>
    <rPh sb="37" eb="39">
      <t>カイシュウ</t>
    </rPh>
    <rPh sb="39" eb="40">
      <t>ヨウ</t>
    </rPh>
    <phoneticPr fontId="1"/>
  </si>
  <si>
    <t>　私は、とっとり住まいる支援事業補助金交付要綱及びとっとり健康省エネ住宅改修支援事業補助金交付要綱を熟読し、交付申請（実績報告）内容について下記のとおり確認しました。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42" eb="45">
      <t>ホジョキン</t>
    </rPh>
    <rPh sb="45" eb="49">
      <t>コウフヨウコウ</t>
    </rPh>
    <rPh sb="50" eb="52">
      <t>ジュクドク</t>
    </rPh>
    <rPh sb="54" eb="56">
      <t>コウフ</t>
    </rPh>
    <rPh sb="56" eb="58">
      <t>シンセイ</t>
    </rPh>
    <rPh sb="59" eb="61">
      <t>ジッセキ</t>
    </rPh>
    <rPh sb="61" eb="63">
      <t>ホウコク</t>
    </rPh>
    <rPh sb="64" eb="66">
      <t>ナイヨウ</t>
    </rPh>
    <phoneticPr fontId="1"/>
  </si>
  <si>
    <t>補助金実績報告書</t>
    <rPh sb="0" eb="3">
      <t>ホジョキン</t>
    </rPh>
    <rPh sb="3" eb="5">
      <t>ジッセキ</t>
    </rPh>
    <rPh sb="5" eb="8">
      <t>ホウコクショ</t>
    </rPh>
    <phoneticPr fontId="1"/>
  </si>
  <si>
    <t>建設等報告書【改修用】</t>
    <rPh sb="0" eb="2">
      <t>ケンセツ</t>
    </rPh>
    <rPh sb="2" eb="3">
      <t>ナド</t>
    </rPh>
    <rPh sb="3" eb="5">
      <t>ホウコク</t>
    </rPh>
    <rPh sb="7" eb="9">
      <t>カイシュウ</t>
    </rPh>
    <phoneticPr fontId="1"/>
  </si>
  <si>
    <t>規則様式第３号（第17条関係）</t>
    <rPh sb="0" eb="2">
      <t>キソク</t>
    </rPh>
    <rPh sb="2" eb="4">
      <t>ヨウシキ</t>
    </rPh>
    <rPh sb="4" eb="5">
      <t>ダイ</t>
    </rPh>
    <rPh sb="6" eb="7">
      <t>ゴウ</t>
    </rPh>
    <rPh sb="8" eb="9">
      <t>ダイ</t>
    </rPh>
    <rPh sb="11" eb="12">
      <t>ジョウ</t>
    </rPh>
    <rPh sb="12" eb="14">
      <t>カンケイ</t>
    </rPh>
    <phoneticPr fontId="1"/>
  </si>
  <si>
    <t>・建設等報告書（様式第６号の２）</t>
    <rPh sb="4" eb="6">
      <t>ホウコク</t>
    </rPh>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</si>
  <si>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</si>
  <si>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</si>
  <si>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</si>
  <si>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</si>
  <si>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</si>
  <si>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</si>
  <si>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</si>
  <si>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</si>
  <si>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次の①～③に掲げる地域建築技能のうち、いずれか２以上が使用された場合に最大15万円を支援する。</t>
    <rPh sb="0" eb="1">
      <t>ツギ</t>
    </rPh>
    <rPh sb="6" eb="7">
      <t>カカ</t>
    </rPh>
    <rPh sb="9" eb="11">
      <t>チイキ</t>
    </rPh>
    <rPh sb="11" eb="13">
      <t>ケンチク</t>
    </rPh>
    <rPh sb="13" eb="15">
      <t>ギノウ</t>
    </rPh>
    <rPh sb="24" eb="26">
      <t>イジョウ</t>
    </rPh>
    <rPh sb="27" eb="29">
      <t>シヨウ</t>
    </rPh>
    <rPh sb="32" eb="34">
      <t>バアイ</t>
    </rPh>
    <rPh sb="35" eb="37">
      <t>サイダイ</t>
    </rPh>
    <rPh sb="39" eb="41">
      <t>マンエン</t>
    </rPh>
    <rPh sb="42" eb="44">
      <t>シエン</t>
    </rPh>
    <phoneticPr fontId="1"/>
  </si>
  <si>
    <t>５　地域建築技能活用改修　（補助金額：上限15万円）</t>
    <rPh sb="2" eb="8">
      <t>チイキケンチクギノウ</t>
    </rPh>
    <rPh sb="8" eb="10">
      <t>カツヨウ</t>
    </rPh>
    <rPh sb="10" eb="12">
      <t>カイシュウ</t>
    </rPh>
    <rPh sb="19" eb="21">
      <t>ジョウゲン</t>
    </rPh>
    <phoneticPr fontId="1"/>
  </si>
  <si>
    <t>＜実績報告時の提出書類＞各地域建築技能に係る面積等の算出過程及び結果並びに使用場所がわかる立面図、展開図等の書類</t>
    <rPh sb="13" eb="15">
      <t>チイキ</t>
    </rPh>
    <rPh sb="15" eb="17">
      <t>ケンチク</t>
    </rPh>
    <phoneticPr fontId="1"/>
  </si>
  <si>
    <t>とっとり健康省エネ住宅改修支援事業補助基準額等算定表</t>
    <phoneticPr fontId="1"/>
  </si>
  <si>
    <t>在来軸組工法</t>
  </si>
  <si>
    <t>＜所管事務所長が求める書類＞</t>
    <rPh sb="1" eb="8">
      <t>ショカンジム</t>
    </rPh>
    <rPh sb="8" eb="9">
      <t>モト</t>
    </rPh>
    <rPh sb="11" eb="13">
      <t>ショルイ</t>
    </rPh>
    <phoneticPr fontId="1"/>
  </si>
  <si>
    <t>＜所管事務所長が求める書類＞</t>
    <rPh sb="1" eb="7">
      <t>ショカンジムショチョウ</t>
    </rPh>
    <rPh sb="8" eb="9">
      <t>モト</t>
    </rPh>
    <rPh sb="11" eb="13">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</si>
</sst>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DBNum3][$-411]#,##0"/>
    <numFmt numFmtId="177" formatCode="[DBNum3][$-411]0"/>
    <numFmt numFmtId="178" formatCode="&quot;令和&quot;General"/>
    <numFmt numFmtId="179" formatCode="General&quot;m3&quot;"/>
    <numFmt numFmtId="180" formatCode="General&quot;m2&quot;"/>
    <numFmt numFmtId="181" formatCode="0.0_ "/>
    <numFmt numFmtId="182" formatCode="0.0_);[Red]\(0.0\)"/>
    <numFmt numFmtId="183" formatCode="0.0&quot;m3&quot;"/>
    <numFmt numFmtId="184" formatCode="&quot;金&quot;#,##0"/>
    <numFmt numFmtId="185" formatCode="0.00_ "/>
    <numFmt numFmtId="186" formatCode="[$-411]ge\.m\.d;@"/>
    <numFmt numFmtId="187" formatCode="0_ "/>
    <numFmt numFmtId="188" formatCode="#,##0_ "/>
    <numFmt numFmtId="189" formatCode="0.000"/>
    <numFmt numFmtId="190" formatCode="&quot;¥&quot;#,##0_);[Red]\(&quot;¥&quot;#,##0\)"/>
    <numFmt numFmtId="191" formatCode="0.0"/>
  </numFmts>
  <fonts count="52"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11"/>
      <name val="ＭＳ Ｐ明朝"/>
      <family val="1"/>
      <charset val="128"/>
    </font>
    <font>
      <u/>
      <sz val="10"/>
      <color rgb="FF0066FF"/>
      <name val="ＭＳ 明朝"/>
      <family val="1"/>
      <charset val="128"/>
    </font>
    <font>
      <sz val="10"/>
      <color theme="1"/>
      <name val="ＭＳ 明朝"/>
      <family val="1"/>
      <charset val="128"/>
    </font>
    <font>
      <b/>
      <sz val="9"/>
      <color indexed="81"/>
      <name val="ＭＳ Ｐゴシック"/>
      <family val="3"/>
      <charset val="128"/>
    </font>
    <font>
      <sz val="12"/>
      <color theme="1"/>
      <name val="ＭＳ Ｐ明朝"/>
      <family val="1"/>
      <charset val="128"/>
    </font>
    <font>
      <sz val="11"/>
      <color theme="1"/>
      <name val="ＭＳ Ｐゴシック"/>
      <family val="2"/>
      <charset val="128"/>
      <scheme val="minor"/>
    </font>
    <font>
      <sz val="11"/>
      <color rgb="FF0000FF"/>
      <name val="ＭＳ Ｐ明朝"/>
      <family val="1"/>
      <charset val="128"/>
    </font>
    <font>
      <sz val="10.5"/>
      <color theme="1"/>
      <name val="ＭＳ Ｐ明朝"/>
      <family val="1"/>
      <charset val="128"/>
    </font>
    <font>
      <sz val="11"/>
      <color rgb="FFFFFF00"/>
      <name val="ＭＳ Ｐ明朝"/>
      <family val="1"/>
      <charset val="128"/>
    </font>
    <font>
      <sz val="11"/>
      <color rgb="FFFF0000"/>
      <name val="ＭＳ 明朝"/>
      <family val="1"/>
      <charset val="128"/>
    </font>
    <font>
      <sz val="11"/>
      <color theme="1"/>
      <name val="ＭＳ 明朝"/>
      <family val="1"/>
      <charset val="128"/>
    </font>
    <font>
      <sz val="11"/>
      <color rgb="FF0000FF"/>
      <name val="ＭＳ 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14"/>
      <name val="ＭＳ Ｐゴシック"/>
      <family val="3"/>
      <charset val="128"/>
    </font>
  </fonts>
  <fills count="1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7"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92">
    <xf numFmtId="0" fontId="0" fillId="0" borderId="0" xfId="0">
      <alignment vertical="center"/>
    </xf>
    <xf numFmtId="0" fontId="3" fillId="0" borderId="0" xfId="0" applyFont="1">
      <alignment vertical="center"/>
    </xf>
    <xf numFmtId="0" fontId="4" fillId="0" borderId="0" xfId="0" applyFont="1">
      <alignment vertical="center"/>
    </xf>
    <xf numFmtId="0" fontId="3" fillId="3" borderId="0" xfId="0" applyFont="1" applyFill="1">
      <alignment vertical="center"/>
    </xf>
    <xf numFmtId="0" fontId="5" fillId="3" borderId="0" xfId="0" applyFont="1" applyFill="1">
      <alignment vertical="center"/>
    </xf>
    <xf numFmtId="0" fontId="3" fillId="0" borderId="0" xfId="0" applyFont="1" applyAlignment="1">
      <alignment horizontal="righ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 xfId="0" applyFont="1" applyBorder="1">
      <alignment vertical="center"/>
    </xf>
    <xf numFmtId="0" fontId="3" fillId="0" borderId="3" xfId="0" applyFont="1" applyBorder="1">
      <alignment vertical="center"/>
    </xf>
    <xf numFmtId="0" fontId="7" fillId="0" borderId="0" xfId="0" applyFont="1" applyAlignment="1">
      <alignment horizontal="center" vertical="center"/>
    </xf>
    <xf numFmtId="0" fontId="7" fillId="0" borderId="0" xfId="0" applyFont="1">
      <alignment vertical="center"/>
    </xf>
    <xf numFmtId="0" fontId="2" fillId="0" borderId="0" xfId="0" applyFont="1">
      <alignment vertical="center"/>
    </xf>
    <xf numFmtId="0" fontId="8" fillId="3" borderId="0" xfId="0" applyFont="1" applyFill="1">
      <alignment vertical="center"/>
    </xf>
    <xf numFmtId="0" fontId="3" fillId="0" borderId="10" xfId="0" applyFont="1" applyBorder="1">
      <alignment vertical="center"/>
    </xf>
    <xf numFmtId="0" fontId="5"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2" fillId="3" borderId="0" xfId="0" applyFont="1" applyFill="1" applyAlignment="1">
      <alignment horizontal="right" vertical="center"/>
    </xf>
    <xf numFmtId="0" fontId="2" fillId="3" borderId="0" xfId="0" applyFont="1" applyFill="1">
      <alignment vertical="center"/>
    </xf>
    <xf numFmtId="0" fontId="3" fillId="0" borderId="8" xfId="0" applyFont="1" applyBorder="1">
      <alignment vertical="center"/>
    </xf>
    <xf numFmtId="0" fontId="10" fillId="0" borderId="3" xfId="0" applyFont="1" applyBorder="1">
      <alignment vertical="center"/>
    </xf>
    <xf numFmtId="0" fontId="7"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7" fillId="0" borderId="10" xfId="0" applyFont="1" applyBorder="1" applyAlignment="1">
      <alignment vertical="center" wrapText="1"/>
    </xf>
    <xf numFmtId="0" fontId="3" fillId="0" borderId="0" xfId="0" applyFont="1" applyAlignment="1">
      <alignment horizontal="left" vertical="center" wrapText="1"/>
    </xf>
    <xf numFmtId="0" fontId="6" fillId="0" borderId="0" xfId="0" applyFont="1">
      <alignment vertical="center"/>
    </xf>
    <xf numFmtId="0" fontId="3" fillId="0" borderId="5" xfId="0" applyFont="1" applyBorder="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0" xfId="0" applyFont="1" applyAlignment="1">
      <alignment vertical="top"/>
    </xf>
    <xf numFmtId="0" fontId="11" fillId="0" borderId="0" xfId="0" applyFont="1" applyAlignment="1">
      <alignment vertical="center" wrapText="1"/>
    </xf>
    <xf numFmtId="0" fontId="5" fillId="0" borderId="0" xfId="0" applyFont="1" applyAlignment="1">
      <alignment horizontal="right" vertical="center"/>
    </xf>
    <xf numFmtId="0" fontId="12" fillId="0" borderId="0" xfId="0" applyFont="1">
      <alignment vertical="center"/>
    </xf>
    <xf numFmtId="0" fontId="13" fillId="0" borderId="0" xfId="0" applyFont="1" applyAlignment="1">
      <alignment vertical="top"/>
    </xf>
    <xf numFmtId="0" fontId="3"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top"/>
    </xf>
    <xf numFmtId="0" fontId="3" fillId="0" borderId="0" xfId="0" applyFont="1" applyAlignment="1">
      <alignment vertical="top"/>
    </xf>
    <xf numFmtId="181" fontId="3" fillId="3" borderId="0" xfId="0" applyNumberFormat="1" applyFont="1" applyFill="1">
      <alignment vertical="center"/>
    </xf>
    <xf numFmtId="0" fontId="3" fillId="0" borderId="12" xfId="0" applyFont="1" applyBorder="1" applyProtection="1">
      <alignment vertical="center"/>
      <protection locked="0"/>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10" fillId="0" borderId="0" xfId="0" applyFont="1">
      <alignment vertical="center"/>
    </xf>
    <xf numFmtId="0" fontId="21" fillId="3" borderId="0" xfId="0" applyFont="1" applyFill="1">
      <alignment vertical="center"/>
    </xf>
    <xf numFmtId="49" fontId="3" fillId="0" borderId="0" xfId="0" applyNumberFormat="1" applyFont="1" applyAlignment="1">
      <alignment horizontal="right" vertical="center"/>
    </xf>
    <xf numFmtId="176" fontId="3" fillId="0" borderId="3" xfId="0" applyNumberFormat="1" applyFont="1" applyBorder="1">
      <alignment vertical="center"/>
    </xf>
    <xf numFmtId="0" fontId="22" fillId="0" borderId="6" xfId="0" applyFont="1" applyBorder="1">
      <alignment vertical="center"/>
    </xf>
    <xf numFmtId="0" fontId="22" fillId="0" borderId="5" xfId="0" applyFont="1" applyBorder="1">
      <alignment vertical="center"/>
    </xf>
    <xf numFmtId="0" fontId="3" fillId="0" borderId="4" xfId="0" applyFont="1" applyBorder="1">
      <alignment vertical="center"/>
    </xf>
    <xf numFmtId="0" fontId="7" fillId="0" borderId="8" xfId="0" applyFont="1" applyBorder="1">
      <alignment vertical="center"/>
    </xf>
    <xf numFmtId="0" fontId="7" fillId="0" borderId="4" xfId="0" applyFont="1" applyBorder="1">
      <alignment vertical="center"/>
    </xf>
    <xf numFmtId="0" fontId="22" fillId="0" borderId="9" xfId="0" applyFont="1" applyBorder="1">
      <alignment vertical="center"/>
    </xf>
    <xf numFmtId="0" fontId="22" fillId="0" borderId="10" xfId="0" applyFont="1" applyBorder="1">
      <alignment vertical="center"/>
    </xf>
    <xf numFmtId="0" fontId="8" fillId="0" borderId="0" xfId="0" applyFont="1">
      <alignment vertical="center"/>
    </xf>
    <xf numFmtId="0" fontId="21" fillId="0" borderId="0" xfId="0" applyFont="1">
      <alignment vertical="center"/>
    </xf>
    <xf numFmtId="0" fontId="23" fillId="0" borderId="0" xfId="0" applyFont="1">
      <alignment vertical="center"/>
    </xf>
    <xf numFmtId="0" fontId="23" fillId="3" borderId="0" xfId="0" applyFont="1" applyFill="1">
      <alignment vertical="center"/>
    </xf>
    <xf numFmtId="0" fontId="25" fillId="0" borderId="0" xfId="0" applyFont="1">
      <alignment vertical="center"/>
    </xf>
    <xf numFmtId="0" fontId="26" fillId="0" borderId="0" xfId="0" applyFont="1">
      <alignment vertical="center"/>
    </xf>
    <xf numFmtId="0" fontId="25" fillId="0" borderId="0" xfId="0" applyFont="1" applyAlignment="1">
      <alignment vertical="center" wrapText="1"/>
    </xf>
    <xf numFmtId="0" fontId="25" fillId="2" borderId="12" xfId="0" applyFont="1" applyFill="1" applyBorder="1">
      <alignment vertical="center"/>
    </xf>
    <xf numFmtId="38" fontId="25" fillId="0" borderId="12" xfId="1" applyFont="1" applyBorder="1" applyProtection="1">
      <alignment vertical="center"/>
      <protection locked="0"/>
    </xf>
    <xf numFmtId="38" fontId="25" fillId="2" borderId="12" xfId="1" applyFont="1" applyFill="1" applyBorder="1">
      <alignment vertical="center"/>
    </xf>
    <xf numFmtId="38" fontId="25" fillId="2" borderId="12" xfId="0" applyNumberFormat="1" applyFont="1" applyFill="1" applyBorder="1">
      <alignment vertical="center"/>
    </xf>
    <xf numFmtId="0" fontId="25" fillId="2" borderId="12" xfId="0" applyFont="1" applyFill="1" applyBorder="1" applyAlignment="1">
      <alignment horizontal="center" vertical="center"/>
    </xf>
    <xf numFmtId="2" fontId="25" fillId="0" borderId="12" xfId="0" applyNumberFormat="1" applyFont="1" applyBorder="1" applyProtection="1">
      <alignment vertical="center"/>
      <protection locked="0"/>
    </xf>
    <xf numFmtId="2" fontId="25" fillId="2" borderId="12" xfId="0" applyNumberFormat="1" applyFont="1" applyFill="1" applyBorder="1">
      <alignment vertical="center"/>
    </xf>
    <xf numFmtId="0" fontId="3" fillId="0" borderId="0" xfId="0" applyFont="1" applyProtection="1">
      <alignment vertical="center"/>
      <protection locked="0"/>
    </xf>
    <xf numFmtId="0" fontId="3" fillId="0" borderId="12" xfId="0" applyFont="1" applyBorder="1" applyAlignment="1">
      <alignment horizontal="center" vertical="center"/>
    </xf>
    <xf numFmtId="0" fontId="3" fillId="0" borderId="0" xfId="0" applyFont="1" applyAlignment="1" applyProtection="1">
      <alignment vertical="center" wrapText="1"/>
      <protection locked="0"/>
    </xf>
    <xf numFmtId="49" fontId="3" fillId="0" borderId="0" xfId="0" applyNumberFormat="1" applyFont="1" applyAlignment="1" applyProtection="1">
      <alignment vertical="center" wrapText="1"/>
      <protection locked="0"/>
    </xf>
    <xf numFmtId="0" fontId="3" fillId="0" borderId="2" xfId="0" applyFont="1" applyBorder="1">
      <alignment vertical="center"/>
    </xf>
    <xf numFmtId="0" fontId="3" fillId="0" borderId="8" xfId="0" applyFont="1" applyBorder="1" applyAlignment="1">
      <alignment vertical="center" wrapText="1"/>
    </xf>
    <xf numFmtId="0" fontId="3" fillId="0" borderId="4" xfId="0" applyFont="1" applyBorder="1" applyAlignment="1">
      <alignment vertical="center" wrapText="1"/>
    </xf>
    <xf numFmtId="0" fontId="5" fillId="0" borderId="0" xfId="0" applyFont="1" applyAlignment="1">
      <alignment vertical="center" wrapText="1"/>
    </xf>
    <xf numFmtId="0" fontId="3" fillId="0" borderId="12" xfId="0" applyFont="1" applyBorder="1" applyAlignment="1">
      <alignment horizontal="left" vertical="center"/>
    </xf>
    <xf numFmtId="0" fontId="3" fillId="0" borderId="12" xfId="0" applyFont="1" applyBorder="1" applyAlignment="1">
      <alignment horizontal="left" vertical="center" wrapText="1"/>
    </xf>
    <xf numFmtId="0" fontId="15" fillId="0" borderId="0" xfId="0" applyFont="1">
      <alignment vertical="center"/>
    </xf>
    <xf numFmtId="0" fontId="27" fillId="0" borderId="0" xfId="0" applyFont="1">
      <alignment vertical="center"/>
    </xf>
    <xf numFmtId="0" fontId="28" fillId="0" borderId="0" xfId="0" applyFont="1" applyAlignment="1">
      <alignment horizontal="center" vertical="center"/>
    </xf>
    <xf numFmtId="0" fontId="28" fillId="0" borderId="0" xfId="0" applyFont="1">
      <alignment vertical="center"/>
    </xf>
    <xf numFmtId="186" fontId="28" fillId="0" borderId="0" xfId="0" applyNumberFormat="1" applyFont="1">
      <alignment vertical="center"/>
    </xf>
    <xf numFmtId="0" fontId="29" fillId="0" borderId="0" xfId="0" applyFont="1">
      <alignment vertical="center"/>
    </xf>
    <xf numFmtId="187" fontId="28" fillId="0" borderId="0" xfId="0" applyNumberFormat="1" applyFont="1">
      <alignment vertical="center"/>
    </xf>
    <xf numFmtId="188" fontId="28" fillId="0" borderId="0" xfId="0" applyNumberFormat="1" applyFont="1">
      <alignment vertical="center"/>
    </xf>
    <xf numFmtId="186" fontId="28" fillId="6" borderId="0" xfId="0" applyNumberFormat="1" applyFont="1" applyFill="1">
      <alignment vertical="center"/>
    </xf>
    <xf numFmtId="0" fontId="28" fillId="6" borderId="0" xfId="0" applyFont="1" applyFill="1">
      <alignment vertical="center"/>
    </xf>
    <xf numFmtId="0" fontId="28" fillId="6" borderId="0" xfId="0" applyFont="1" applyFill="1" applyAlignment="1">
      <alignment horizontal="center" vertical="center"/>
    </xf>
    <xf numFmtId="187" fontId="28" fillId="6" borderId="0" xfId="0" applyNumberFormat="1" applyFont="1" applyFill="1">
      <alignment vertical="center"/>
    </xf>
    <xf numFmtId="188" fontId="28" fillId="6" borderId="0" xfId="0" applyNumberFormat="1" applyFont="1" applyFill="1">
      <alignment vertical="center"/>
    </xf>
    <xf numFmtId="187" fontId="28" fillId="7" borderId="10" xfId="0" applyNumberFormat="1" applyFont="1" applyFill="1" applyBorder="1">
      <alignment vertical="center"/>
    </xf>
    <xf numFmtId="0" fontId="27" fillId="0" borderId="13" xfId="0" applyFont="1" applyBorder="1" applyAlignment="1">
      <alignment vertical="top" wrapText="1"/>
    </xf>
    <xf numFmtId="0" fontId="31" fillId="0" borderId="13" xfId="0" applyFont="1" applyBorder="1" applyAlignment="1">
      <alignment vertical="top" wrapText="1"/>
    </xf>
    <xf numFmtId="0" fontId="28" fillId="0" borderId="13" xfId="0" applyFont="1" applyBorder="1" applyAlignment="1">
      <alignment horizontal="center" vertical="top" wrapText="1"/>
    </xf>
    <xf numFmtId="0" fontId="28" fillId="0" borderId="13" xfId="0" applyFont="1" applyBorder="1" applyAlignment="1">
      <alignment vertical="top" wrapText="1"/>
    </xf>
    <xf numFmtId="0" fontId="32" fillId="0" borderId="13" xfId="0" applyFont="1" applyBorder="1" applyAlignment="1">
      <alignment vertical="top" wrapText="1"/>
    </xf>
    <xf numFmtId="0" fontId="33" fillId="0" borderId="13" xfId="0" applyFont="1" applyBorder="1" applyAlignment="1">
      <alignment vertical="top" wrapText="1"/>
    </xf>
    <xf numFmtId="186" fontId="28" fillId="0" borderId="13" xfId="0" applyNumberFormat="1" applyFont="1" applyBorder="1" applyAlignment="1">
      <alignment vertical="top" wrapText="1"/>
    </xf>
    <xf numFmtId="0" fontId="28" fillId="0" borderId="1" xfId="0" applyFont="1" applyBorder="1" applyAlignment="1">
      <alignment vertical="top" wrapText="1"/>
    </xf>
    <xf numFmtId="0" fontId="28" fillId="0" borderId="2" xfId="0" applyFont="1" applyBorder="1" applyAlignment="1">
      <alignment horizontal="center" vertical="top" wrapText="1"/>
    </xf>
    <xf numFmtId="0" fontId="28" fillId="0" borderId="2" xfId="0" applyFont="1" applyBorder="1" applyAlignment="1">
      <alignment vertical="top" wrapText="1"/>
    </xf>
    <xf numFmtId="0" fontId="28" fillId="0" borderId="3" xfId="0" applyFont="1" applyBorder="1" applyAlignment="1">
      <alignment horizontal="center" vertical="top" wrapText="1"/>
    </xf>
    <xf numFmtId="0" fontId="28" fillId="0" borderId="1" xfId="0" applyFont="1" applyBorder="1" applyAlignment="1">
      <alignment horizontal="center" vertical="top" wrapText="1"/>
    </xf>
    <xf numFmtId="0" fontId="28" fillId="0" borderId="3" xfId="0" applyFont="1" applyBorder="1" applyAlignment="1">
      <alignment vertical="top"/>
    </xf>
    <xf numFmtId="187" fontId="28" fillId="8" borderId="0" xfId="0" applyNumberFormat="1" applyFont="1" applyFill="1" applyAlignment="1">
      <alignment vertical="top"/>
    </xf>
    <xf numFmtId="187" fontId="28" fillId="8" borderId="0" xfId="0" applyNumberFormat="1" applyFont="1" applyFill="1" applyAlignment="1">
      <alignment vertical="top" wrapText="1"/>
    </xf>
    <xf numFmtId="187" fontId="28" fillId="9" borderId="0" xfId="0" applyNumberFormat="1" applyFont="1" applyFill="1" applyAlignment="1">
      <alignment vertical="top" wrapText="1"/>
    </xf>
    <xf numFmtId="186" fontId="28" fillId="0" borderId="6" xfId="0" applyNumberFormat="1" applyFont="1" applyBorder="1" applyAlignment="1">
      <alignment vertical="top" wrapText="1"/>
    </xf>
    <xf numFmtId="186" fontId="28" fillId="0" borderId="5" xfId="0" applyNumberFormat="1" applyFont="1" applyBorder="1" applyAlignment="1">
      <alignment vertical="top" wrapText="1"/>
    </xf>
    <xf numFmtId="186" fontId="28" fillId="0" borderId="6" xfId="0" applyNumberFormat="1" applyFont="1" applyBorder="1" applyAlignment="1">
      <alignment vertical="top"/>
    </xf>
    <xf numFmtId="188" fontId="28" fillId="0" borderId="7" xfId="0" applyNumberFormat="1" applyFont="1" applyBorder="1" applyAlignment="1">
      <alignment vertical="top"/>
    </xf>
    <xf numFmtId="0" fontId="28" fillId="0" borderId="6" xfId="0" applyFont="1" applyBorder="1" applyAlignment="1">
      <alignment vertical="top" wrapText="1"/>
    </xf>
    <xf numFmtId="0" fontId="28" fillId="0" borderId="7" xfId="0" applyFont="1" applyBorder="1" applyAlignment="1">
      <alignment vertical="top" wrapText="1"/>
    </xf>
    <xf numFmtId="0" fontId="28" fillId="0" borderId="7" xfId="0" applyFont="1" applyBorder="1" applyAlignment="1">
      <alignment horizontal="center" vertical="top" wrapText="1"/>
    </xf>
    <xf numFmtId="0" fontId="28" fillId="0" borderId="6" xfId="0" applyFont="1" applyBorder="1" applyAlignment="1">
      <alignment vertical="top"/>
    </xf>
    <xf numFmtId="0" fontId="28" fillId="0" borderId="5" xfId="0" applyFont="1" applyBorder="1" applyAlignment="1">
      <alignment vertical="top" wrapText="1"/>
    </xf>
    <xf numFmtId="0" fontId="28" fillId="0" borderId="0" xfId="0" applyFont="1" applyAlignment="1">
      <alignment vertical="top" wrapText="1"/>
    </xf>
    <xf numFmtId="187" fontId="28" fillId="8" borderId="0" xfId="0" applyNumberFormat="1" applyFont="1" applyFill="1" applyAlignment="1">
      <alignment horizontal="center" vertical="top" wrapText="1"/>
    </xf>
    <xf numFmtId="187" fontId="28" fillId="9" borderId="1" xfId="0" applyNumberFormat="1" applyFont="1" applyFill="1" applyBorder="1" applyAlignment="1">
      <alignment vertical="top" wrapText="1"/>
    </xf>
    <xf numFmtId="187" fontId="28" fillId="9" borderId="2" xfId="0" applyNumberFormat="1" applyFont="1" applyFill="1" applyBorder="1" applyAlignment="1">
      <alignment vertical="top" wrapText="1"/>
    </xf>
    <xf numFmtId="186" fontId="28" fillId="0" borderId="5" xfId="0" applyNumberFormat="1" applyFont="1" applyBorder="1" applyAlignment="1">
      <alignment vertical="top"/>
    </xf>
    <xf numFmtId="188" fontId="28" fillId="0" borderId="5" xfId="0" applyNumberFormat="1" applyFont="1" applyBorder="1" applyAlignment="1">
      <alignment vertical="top"/>
    </xf>
    <xf numFmtId="0" fontId="34" fillId="0" borderId="18" xfId="0" applyFont="1" applyBorder="1">
      <alignment vertical="center"/>
    </xf>
    <xf numFmtId="0" fontId="31" fillId="0" borderId="18" xfId="0" applyFont="1" applyBorder="1">
      <alignment vertical="center"/>
    </xf>
    <xf numFmtId="0" fontId="28" fillId="0" borderId="18" xfId="0" applyFont="1" applyBorder="1" applyAlignment="1">
      <alignment horizontal="center" vertical="center"/>
    </xf>
    <xf numFmtId="0" fontId="28" fillId="0" borderId="18" xfId="0" applyFont="1" applyBorder="1">
      <alignment vertical="center"/>
    </xf>
    <xf numFmtId="186" fontId="28" fillId="0" borderId="18" xfId="0" applyNumberFormat="1" applyFont="1" applyBorder="1">
      <alignment vertical="center"/>
    </xf>
    <xf numFmtId="0" fontId="28" fillId="0" borderId="13" xfId="0" applyFont="1" applyBorder="1">
      <alignment vertical="center"/>
    </xf>
    <xf numFmtId="0" fontId="28" fillId="0" borderId="13" xfId="0" applyFont="1" applyBorder="1" applyAlignment="1">
      <alignment horizontal="center" vertical="center"/>
    </xf>
    <xf numFmtId="0" fontId="28" fillId="0" borderId="1" xfId="0" applyFont="1" applyBorder="1">
      <alignment vertical="center"/>
    </xf>
    <xf numFmtId="187" fontId="28" fillId="0" borderId="13" xfId="0" applyNumberFormat="1" applyFont="1" applyBorder="1">
      <alignment vertical="center"/>
    </xf>
    <xf numFmtId="187" fontId="28" fillId="4" borderId="1" xfId="0" applyNumberFormat="1" applyFont="1" applyFill="1" applyBorder="1">
      <alignment vertical="center"/>
    </xf>
    <xf numFmtId="187" fontId="28" fillId="4" borderId="3" xfId="0" applyNumberFormat="1" applyFont="1" applyFill="1" applyBorder="1">
      <alignment vertical="center"/>
    </xf>
    <xf numFmtId="187" fontId="28" fillId="2" borderId="1" xfId="0" applyNumberFormat="1" applyFont="1" applyFill="1" applyBorder="1">
      <alignment vertical="center"/>
    </xf>
    <xf numFmtId="187" fontId="28" fillId="2" borderId="2" xfId="0" applyNumberFormat="1" applyFont="1" applyFill="1" applyBorder="1">
      <alignment vertical="center"/>
    </xf>
    <xf numFmtId="187" fontId="28" fillId="2" borderId="3" xfId="0" applyNumberFormat="1" applyFont="1" applyFill="1" applyBorder="1">
      <alignment vertical="center"/>
    </xf>
    <xf numFmtId="187" fontId="28" fillId="10" borderId="1" xfId="0" applyNumberFormat="1" applyFont="1" applyFill="1" applyBorder="1">
      <alignment vertical="center"/>
    </xf>
    <xf numFmtId="187" fontId="28" fillId="10" borderId="2" xfId="0" applyNumberFormat="1" applyFont="1" applyFill="1" applyBorder="1">
      <alignment vertical="center"/>
    </xf>
    <xf numFmtId="187" fontId="28" fillId="10" borderId="3" xfId="0" applyNumberFormat="1" applyFont="1" applyFill="1" applyBorder="1">
      <alignment vertical="center"/>
    </xf>
    <xf numFmtId="187" fontId="35" fillId="6" borderId="3" xfId="0" applyNumberFormat="1" applyFont="1" applyFill="1" applyBorder="1">
      <alignment vertical="center"/>
    </xf>
    <xf numFmtId="187" fontId="28" fillId="7" borderId="1" xfId="0" applyNumberFormat="1" applyFont="1" applyFill="1" applyBorder="1">
      <alignment vertical="center"/>
    </xf>
    <xf numFmtId="187" fontId="28" fillId="7" borderId="2" xfId="0" applyNumberFormat="1" applyFont="1" applyFill="1" applyBorder="1">
      <alignment vertical="center"/>
    </xf>
    <xf numFmtId="187" fontId="28" fillId="7" borderId="3" xfId="0" applyNumberFormat="1" applyFont="1" applyFill="1" applyBorder="1">
      <alignment vertical="center"/>
    </xf>
    <xf numFmtId="187" fontId="28" fillId="11" borderId="1" xfId="0" applyNumberFormat="1" applyFont="1" applyFill="1" applyBorder="1">
      <alignment vertical="center"/>
    </xf>
    <xf numFmtId="187" fontId="28" fillId="11" borderId="2" xfId="0" applyNumberFormat="1" applyFont="1" applyFill="1" applyBorder="1">
      <alignment vertical="center"/>
    </xf>
    <xf numFmtId="187" fontId="28" fillId="11" borderId="3" xfId="0" applyNumberFormat="1" applyFont="1" applyFill="1" applyBorder="1">
      <alignment vertical="center"/>
    </xf>
    <xf numFmtId="187" fontId="28" fillId="3" borderId="1" xfId="0" applyNumberFormat="1" applyFont="1" applyFill="1" applyBorder="1">
      <alignment vertical="center"/>
    </xf>
    <xf numFmtId="187" fontId="28" fillId="3" borderId="2" xfId="0" applyNumberFormat="1" applyFont="1" applyFill="1" applyBorder="1">
      <alignment vertical="center"/>
    </xf>
    <xf numFmtId="187" fontId="28" fillId="3" borderId="3" xfId="0" applyNumberFormat="1" applyFont="1" applyFill="1" applyBorder="1">
      <alignment vertical="center"/>
    </xf>
    <xf numFmtId="187" fontId="28" fillId="4" borderId="2" xfId="0" applyNumberFormat="1" applyFont="1" applyFill="1" applyBorder="1" applyAlignment="1">
      <alignment vertical="center" wrapText="1"/>
    </xf>
    <xf numFmtId="187" fontId="28" fillId="4" borderId="3" xfId="0" applyNumberFormat="1" applyFont="1" applyFill="1" applyBorder="1" applyAlignment="1">
      <alignment vertical="center" wrapText="1"/>
    </xf>
    <xf numFmtId="187" fontId="28" fillId="9" borderId="0" xfId="0" applyNumberFormat="1" applyFont="1" applyFill="1" applyAlignment="1">
      <alignment vertical="center" wrapText="1"/>
    </xf>
    <xf numFmtId="186" fontId="28" fillId="0" borderId="9" xfId="0" applyNumberFormat="1" applyFont="1" applyBorder="1" applyAlignment="1">
      <alignment vertical="top" wrapText="1"/>
    </xf>
    <xf numFmtId="186" fontId="28" fillId="0" borderId="10" xfId="0" applyNumberFormat="1" applyFont="1" applyBorder="1" applyAlignment="1">
      <alignment vertical="top" wrapText="1"/>
    </xf>
    <xf numFmtId="186" fontId="28" fillId="0" borderId="0" xfId="0" applyNumberFormat="1" applyFont="1" applyAlignment="1">
      <alignment horizontal="center" vertical="top" wrapText="1"/>
    </xf>
    <xf numFmtId="186" fontId="28" fillId="0" borderId="8" xfId="0" applyNumberFormat="1" applyFont="1" applyBorder="1" applyAlignment="1">
      <alignment vertical="top"/>
    </xf>
    <xf numFmtId="188" fontId="28" fillId="0" borderId="4" xfId="0" applyNumberFormat="1" applyFont="1" applyBorder="1" applyAlignment="1">
      <alignment vertical="top"/>
    </xf>
    <xf numFmtId="0" fontId="28" fillId="0" borderId="8" xfId="0" applyFont="1" applyBorder="1">
      <alignment vertical="center"/>
    </xf>
    <xf numFmtId="0" fontId="28" fillId="0" borderId="4" xfId="0" applyFont="1" applyBorder="1">
      <alignment vertical="center"/>
    </xf>
    <xf numFmtId="0" fontId="28" fillId="0" borderId="4" xfId="0" applyFont="1" applyBorder="1" applyAlignment="1">
      <alignment horizontal="center" vertical="center"/>
    </xf>
    <xf numFmtId="189" fontId="28" fillId="0" borderId="18" xfId="0" applyNumberFormat="1" applyFont="1" applyBorder="1">
      <alignment vertical="center"/>
    </xf>
    <xf numFmtId="186" fontId="28" fillId="0" borderId="8" xfId="0" applyNumberFormat="1" applyFont="1" applyBorder="1" applyAlignment="1">
      <alignment vertical="top" wrapText="1"/>
    </xf>
    <xf numFmtId="0" fontId="28" fillId="0" borderId="4" xfId="0" applyFont="1" applyBorder="1" applyAlignment="1">
      <alignment vertical="top" wrapText="1"/>
    </xf>
    <xf numFmtId="187" fontId="28" fillId="4" borderId="2" xfId="0" applyNumberFormat="1" applyFont="1" applyFill="1" applyBorder="1">
      <alignment vertical="center"/>
    </xf>
    <xf numFmtId="187" fontId="35" fillId="6" borderId="1" xfId="0" applyNumberFormat="1" applyFont="1" applyFill="1" applyBorder="1">
      <alignment vertical="center"/>
    </xf>
    <xf numFmtId="187" fontId="28" fillId="8" borderId="13" xfId="0" applyNumberFormat="1" applyFont="1" applyFill="1" applyBorder="1" applyAlignment="1">
      <alignment vertical="center" wrapText="1"/>
    </xf>
    <xf numFmtId="187" fontId="28" fillId="4" borderId="1" xfId="0" applyNumberFormat="1" applyFont="1" applyFill="1" applyBorder="1" applyAlignment="1">
      <alignment vertical="center" wrapText="1"/>
    </xf>
    <xf numFmtId="187" fontId="28" fillId="3" borderId="5" xfId="0" applyNumberFormat="1" applyFont="1" applyFill="1" applyBorder="1">
      <alignment vertical="center"/>
    </xf>
    <xf numFmtId="187" fontId="28" fillId="4" borderId="13" xfId="0" applyNumberFormat="1" applyFont="1" applyFill="1" applyBorder="1" applyAlignment="1">
      <alignment vertical="center" wrapText="1"/>
    </xf>
    <xf numFmtId="0" fontId="28" fillId="0" borderId="9" xfId="0" applyFont="1" applyBorder="1" applyAlignment="1">
      <alignment vertical="top"/>
    </xf>
    <xf numFmtId="186" fontId="28" fillId="0" borderId="10" xfId="0" applyNumberFormat="1" applyFont="1" applyBorder="1" applyAlignment="1">
      <alignment vertical="top"/>
    </xf>
    <xf numFmtId="188" fontId="28" fillId="0" borderId="10" xfId="0" applyNumberFormat="1" applyFont="1" applyBorder="1" applyAlignment="1"/>
    <xf numFmtId="188" fontId="28" fillId="0" borderId="11" xfId="0" applyNumberFormat="1" applyFont="1" applyBorder="1" applyAlignment="1"/>
    <xf numFmtId="0" fontId="34" fillId="5" borderId="14" xfId="0" applyFont="1" applyFill="1" applyBorder="1" applyAlignment="1">
      <alignment vertical="center" wrapText="1"/>
    </xf>
    <xf numFmtId="0" fontId="31" fillId="0" borderId="18" xfId="0" applyFont="1" applyBorder="1" applyAlignment="1">
      <alignment vertical="center" wrapText="1"/>
    </xf>
    <xf numFmtId="0" fontId="29" fillId="0" borderId="18" xfId="0" applyFont="1" applyBorder="1" applyAlignment="1">
      <alignment horizontal="center" vertical="center" wrapText="1"/>
    </xf>
    <xf numFmtId="0" fontId="28" fillId="5" borderId="18" xfId="0" applyFont="1" applyFill="1" applyBorder="1" applyAlignment="1">
      <alignment horizontal="center" vertical="center" wrapText="1"/>
    </xf>
    <xf numFmtId="0" fontId="35" fillId="0" borderId="18" xfId="0" applyFont="1" applyBorder="1" applyAlignment="1">
      <alignment vertical="center" wrapText="1"/>
    </xf>
    <xf numFmtId="186" fontId="28" fillId="0" borderId="18" xfId="0" applyNumberFormat="1" applyFont="1" applyBorder="1" applyAlignment="1">
      <alignment vertical="center" wrapText="1"/>
    </xf>
    <xf numFmtId="0" fontId="28" fillId="0" borderId="18" xfId="0" applyFont="1" applyBorder="1" applyAlignment="1">
      <alignment vertical="center" wrapText="1"/>
    </xf>
    <xf numFmtId="0" fontId="28" fillId="0" borderId="18" xfId="0" applyFont="1" applyBorder="1" applyAlignment="1">
      <alignment horizontal="center" vertical="center" wrapText="1"/>
    </xf>
    <xf numFmtId="187" fontId="28" fillId="0" borderId="18" xfId="0" applyNumberFormat="1" applyFont="1" applyBorder="1" applyAlignment="1">
      <alignment vertical="center" wrapText="1"/>
    </xf>
    <xf numFmtId="187" fontId="28" fillId="0" borderId="13" xfId="0" applyNumberFormat="1" applyFont="1" applyBorder="1" applyAlignment="1">
      <alignment vertical="center" wrapText="1"/>
    </xf>
    <xf numFmtId="187" fontId="28" fillId="5" borderId="13" xfId="0" applyNumberFormat="1" applyFont="1" applyFill="1" applyBorder="1" applyAlignment="1">
      <alignment vertical="center" wrapText="1"/>
    </xf>
    <xf numFmtId="187" fontId="28" fillId="5" borderId="18" xfId="0" applyNumberFormat="1" applyFont="1" applyFill="1" applyBorder="1" applyAlignment="1">
      <alignment vertical="center" wrapText="1"/>
    </xf>
    <xf numFmtId="187" fontId="38" fillId="0" borderId="18" xfId="0" applyNumberFormat="1" applyFont="1" applyBorder="1" applyAlignment="1">
      <alignment vertical="center" wrapText="1"/>
    </xf>
    <xf numFmtId="187" fontId="28" fillId="4" borderId="18" xfId="0" applyNumberFormat="1" applyFont="1" applyFill="1" applyBorder="1" applyAlignment="1">
      <alignment vertical="center" wrapText="1"/>
    </xf>
    <xf numFmtId="187" fontId="39" fillId="0" borderId="13" xfId="0" applyNumberFormat="1" applyFont="1" applyBorder="1" applyAlignment="1">
      <alignment vertical="center" wrapText="1"/>
    </xf>
    <xf numFmtId="187" fontId="28" fillId="0" borderId="14" xfId="0" applyNumberFormat="1" applyFont="1" applyBorder="1" applyAlignment="1">
      <alignment vertical="center" wrapText="1"/>
    </xf>
    <xf numFmtId="187" fontId="40" fillId="8" borderId="0" xfId="0" applyNumberFormat="1" applyFont="1" applyFill="1" applyAlignment="1">
      <alignment vertical="center" wrapText="1"/>
    </xf>
    <xf numFmtId="187" fontId="40" fillId="12" borderId="0" xfId="0" applyNumberFormat="1" applyFont="1" applyFill="1" applyAlignment="1">
      <alignment vertical="center" wrapText="1"/>
    </xf>
    <xf numFmtId="187" fontId="28" fillId="9" borderId="13" xfId="0" applyNumberFormat="1" applyFont="1" applyFill="1" applyBorder="1" applyAlignment="1">
      <alignment vertical="center" wrapText="1"/>
    </xf>
    <xf numFmtId="186" fontId="28" fillId="0" borderId="13" xfId="0" applyNumberFormat="1" applyFont="1" applyBorder="1">
      <alignment vertical="center"/>
    </xf>
    <xf numFmtId="188" fontId="28" fillId="4" borderId="13" xfId="0" applyNumberFormat="1" applyFont="1" applyFill="1" applyBorder="1">
      <alignment vertical="center"/>
    </xf>
    <xf numFmtId="0" fontId="28" fillId="0" borderId="13" xfId="0" applyFont="1" applyBorder="1" applyAlignment="1">
      <alignment vertical="center" wrapText="1"/>
    </xf>
    <xf numFmtId="0" fontId="28" fillId="0" borderId="13" xfId="0" applyFont="1" applyBorder="1" applyAlignment="1">
      <alignment horizontal="center" vertical="center" wrapText="1"/>
    </xf>
    <xf numFmtId="186" fontId="28" fillId="0" borderId="13" xfId="0" applyNumberFormat="1" applyFont="1" applyBorder="1" applyAlignment="1">
      <alignment vertical="center" wrapText="1"/>
    </xf>
    <xf numFmtId="0" fontId="33" fillId="0" borderId="13" xfId="0" applyFont="1" applyBorder="1" applyAlignment="1">
      <alignment vertical="center" wrapText="1"/>
    </xf>
    <xf numFmtId="0" fontId="28" fillId="0" borderId="0" xfId="0" applyFont="1" applyAlignment="1">
      <alignment vertical="center" wrapText="1"/>
    </xf>
    <xf numFmtId="187" fontId="28" fillId="4" borderId="12" xfId="0" applyNumberFormat="1" applyFont="1" applyFill="1" applyBorder="1" applyAlignment="1">
      <alignment vertical="center" wrapText="1"/>
    </xf>
    <xf numFmtId="187" fontId="28" fillId="4" borderId="14" xfId="0" applyNumberFormat="1" applyFont="1" applyFill="1" applyBorder="1" applyAlignment="1">
      <alignment vertical="center" wrapText="1"/>
    </xf>
    <xf numFmtId="187" fontId="43" fillId="0" borderId="18" xfId="0" applyNumberFormat="1" applyFont="1" applyBorder="1" applyAlignment="1">
      <alignment vertical="center" wrapText="1"/>
    </xf>
    <xf numFmtId="187" fontId="28" fillId="8" borderId="14" xfId="0" applyNumberFormat="1" applyFont="1" applyFill="1" applyBorder="1" applyAlignment="1">
      <alignment vertical="center" wrapText="1"/>
    </xf>
    <xf numFmtId="187" fontId="28" fillId="0" borderId="0" xfId="0" applyNumberFormat="1" applyFont="1" applyAlignment="1">
      <alignment vertical="center" wrapText="1"/>
    </xf>
    <xf numFmtId="187" fontId="40" fillId="8" borderId="9" xfId="0" applyNumberFormat="1" applyFont="1" applyFill="1" applyBorder="1" applyAlignment="1">
      <alignment vertical="center" wrapText="1"/>
    </xf>
    <xf numFmtId="187" fontId="40" fillId="8" borderId="10" xfId="0" applyNumberFormat="1" applyFont="1" applyFill="1" applyBorder="1" applyAlignment="1">
      <alignment vertical="center" wrapText="1"/>
    </xf>
    <xf numFmtId="187" fontId="40" fillId="12" borderId="10" xfId="0" applyNumberFormat="1" applyFont="1" applyFill="1" applyBorder="1" applyAlignment="1">
      <alignment vertical="center" wrapText="1"/>
    </xf>
    <xf numFmtId="187" fontId="28" fillId="0" borderId="12" xfId="0" applyNumberFormat="1" applyFont="1" applyBorder="1" applyAlignment="1">
      <alignment vertical="center" wrapText="1"/>
    </xf>
    <xf numFmtId="0" fontId="28" fillId="0" borderId="12" xfId="0" applyFont="1" applyBorder="1" applyAlignment="1">
      <alignment vertical="center" wrapText="1"/>
    </xf>
    <xf numFmtId="186" fontId="28" fillId="0" borderId="12" xfId="0" applyNumberFormat="1" applyFont="1" applyBorder="1" applyAlignment="1">
      <alignment vertical="center" wrapText="1"/>
    </xf>
    <xf numFmtId="188" fontId="28" fillId="4" borderId="12" xfId="0" applyNumberFormat="1" applyFont="1" applyFill="1" applyBorder="1" applyAlignment="1">
      <alignment vertical="center" wrapText="1"/>
    </xf>
    <xf numFmtId="0" fontId="34" fillId="5" borderId="12" xfId="0" applyFont="1" applyFill="1" applyBorder="1">
      <alignment vertical="center"/>
    </xf>
    <xf numFmtId="0" fontId="31"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6"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87" fontId="0" fillId="5" borderId="12" xfId="0" applyNumberFormat="1" applyFill="1" applyBorder="1">
      <alignment vertical="center"/>
    </xf>
    <xf numFmtId="187" fontId="0" fillId="4" borderId="12" xfId="0" applyNumberFormat="1" applyFill="1" applyBorder="1">
      <alignment vertical="center"/>
    </xf>
    <xf numFmtId="187" fontId="31" fillId="4" borderId="12" xfId="0" applyNumberFormat="1" applyFont="1" applyFill="1" applyBorder="1">
      <alignment vertical="center"/>
    </xf>
    <xf numFmtId="187" fontId="0" fillId="0" borderId="12" xfId="0" applyNumberFormat="1" applyBorder="1">
      <alignment vertical="center"/>
    </xf>
    <xf numFmtId="185" fontId="0" fillId="0" borderId="12" xfId="0" applyNumberFormat="1" applyBorder="1">
      <alignment vertical="center"/>
    </xf>
    <xf numFmtId="186" fontId="0" fillId="5" borderId="1" xfId="0" applyNumberFormat="1" applyFill="1" applyBorder="1">
      <alignment vertical="center"/>
    </xf>
    <xf numFmtId="0" fontId="0" fillId="5" borderId="2" xfId="0" applyFill="1" applyBorder="1">
      <alignment vertical="center"/>
    </xf>
    <xf numFmtId="186" fontId="0" fillId="5" borderId="2" xfId="0" applyNumberFormat="1" applyFill="1" applyBorder="1">
      <alignment vertical="center"/>
    </xf>
    <xf numFmtId="0" fontId="0" fillId="5" borderId="3" xfId="0" applyFill="1" applyBorder="1">
      <alignment vertical="center"/>
    </xf>
    <xf numFmtId="188" fontId="0" fillId="4" borderId="12" xfId="0" applyNumberFormat="1" applyFill="1" applyBorder="1">
      <alignment vertical="center"/>
    </xf>
    <xf numFmtId="38" fontId="0" fillId="5" borderId="12" xfId="1" applyFont="1" applyFill="1" applyBorder="1">
      <alignment vertical="center"/>
    </xf>
    <xf numFmtId="181" fontId="0" fillId="0" borderId="12" xfId="0" applyNumberFormat="1" applyBorder="1">
      <alignment vertical="center"/>
    </xf>
    <xf numFmtId="0" fontId="28" fillId="13" borderId="0" xfId="0" applyFont="1" applyFill="1">
      <alignment vertical="center"/>
    </xf>
    <xf numFmtId="0" fontId="34" fillId="14" borderId="12" xfId="0" applyFont="1" applyFill="1" applyBorder="1">
      <alignment vertical="center"/>
    </xf>
    <xf numFmtId="0" fontId="31"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6" fontId="0" fillId="14" borderId="12" xfId="0" applyNumberFormat="1" applyFill="1" applyBorder="1">
      <alignment vertical="center"/>
    </xf>
    <xf numFmtId="187" fontId="0" fillId="14" borderId="12" xfId="0" applyNumberFormat="1" applyFill="1" applyBorder="1">
      <alignment vertical="center"/>
    </xf>
    <xf numFmtId="187" fontId="31" fillId="14" borderId="12" xfId="0" applyNumberFormat="1" applyFont="1" applyFill="1" applyBorder="1">
      <alignment vertical="center"/>
    </xf>
    <xf numFmtId="185" fontId="0" fillId="14" borderId="12" xfId="0" applyNumberFormat="1" applyFill="1" applyBorder="1">
      <alignment vertical="center"/>
    </xf>
    <xf numFmtId="186" fontId="0" fillId="14" borderId="1" xfId="0" applyNumberFormat="1" applyFill="1" applyBorder="1">
      <alignment vertical="center"/>
    </xf>
    <xf numFmtId="186" fontId="0" fillId="14" borderId="2" xfId="0" applyNumberFormat="1" applyFill="1" applyBorder="1">
      <alignment vertical="center"/>
    </xf>
    <xf numFmtId="186" fontId="0" fillId="14" borderId="3" xfId="0" applyNumberFormat="1" applyFill="1" applyBorder="1">
      <alignment vertical="center"/>
    </xf>
    <xf numFmtId="188"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1" fontId="0" fillId="14" borderId="12" xfId="0" applyNumberFormat="1" applyFill="1" applyBorder="1">
      <alignment vertical="center"/>
    </xf>
    <xf numFmtId="0" fontId="45" fillId="0" borderId="12" xfId="0" applyFont="1" applyBorder="1">
      <alignment vertical="center"/>
    </xf>
    <xf numFmtId="178" fontId="0" fillId="5" borderId="1" xfId="0" applyNumberFormat="1" applyFill="1" applyBorder="1">
      <alignment vertical="center"/>
    </xf>
    <xf numFmtId="187" fontId="0" fillId="4" borderId="12" xfId="0" applyNumberFormat="1" applyFill="1" applyBorder="1" applyAlignment="1">
      <alignment horizontal="right" vertical="center"/>
    </xf>
    <xf numFmtId="187" fontId="46" fillId="0" borderId="0" xfId="0" applyNumberFormat="1" applyFont="1">
      <alignment vertical="center"/>
    </xf>
    <xf numFmtId="187" fontId="28" fillId="13" borderId="0" xfId="0" applyNumberFormat="1" applyFont="1" applyFill="1">
      <alignment vertical="center"/>
    </xf>
    <xf numFmtId="0" fontId="31" fillId="13" borderId="0" xfId="0" applyFont="1" applyFill="1">
      <alignment vertical="center"/>
    </xf>
    <xf numFmtId="187" fontId="28" fillId="13" borderId="0" xfId="0" applyNumberFormat="1" applyFont="1" applyFill="1" applyAlignment="1">
      <alignment horizontal="center" vertical="center"/>
    </xf>
    <xf numFmtId="186" fontId="28" fillId="13" borderId="0" xfId="0" applyNumberFormat="1" applyFont="1" applyFill="1">
      <alignment vertical="center"/>
    </xf>
    <xf numFmtId="0" fontId="28" fillId="13" borderId="0" xfId="0" applyFont="1" applyFill="1" applyAlignment="1">
      <alignment horizontal="center" vertical="center"/>
    </xf>
    <xf numFmtId="49" fontId="3" fillId="0" borderId="0" xfId="0" applyNumberFormat="1" applyFont="1" applyProtection="1">
      <alignment vertical="center"/>
      <protection locked="0"/>
    </xf>
    <xf numFmtId="0" fontId="47" fillId="0" borderId="0" xfId="0" applyFont="1" applyProtection="1">
      <alignment vertical="center"/>
      <protection locked="0"/>
    </xf>
    <xf numFmtId="49" fontId="47" fillId="0" borderId="0" xfId="0" applyNumberFormat="1" applyFont="1" applyProtection="1">
      <alignment vertical="center"/>
      <protection locked="0"/>
    </xf>
    <xf numFmtId="0" fontId="8" fillId="0" borderId="0" xfId="0" applyFont="1" applyAlignment="1">
      <alignment horizontal="left" vertical="center"/>
    </xf>
    <xf numFmtId="0" fontId="8" fillId="0" borderId="0" xfId="0" applyFont="1" applyAlignment="1">
      <alignment horizontal="center" vertical="center"/>
    </xf>
    <xf numFmtId="181" fontId="0" fillId="5" borderId="12" xfId="0" applyNumberFormat="1" applyFill="1" applyBorder="1">
      <alignment vertical="center"/>
    </xf>
    <xf numFmtId="187" fontId="36" fillId="0" borderId="18" xfId="0" applyNumberFormat="1" applyFont="1" applyBorder="1" applyAlignment="1">
      <alignment vertical="center" wrapText="1"/>
    </xf>
    <xf numFmtId="187" fontId="48" fillId="0" borderId="18" xfId="0" applyNumberFormat="1" applyFont="1" applyBorder="1" applyAlignment="1">
      <alignment vertical="center" wrapText="1"/>
    </xf>
    <xf numFmtId="187" fontId="0" fillId="15" borderId="12" xfId="0" applyNumberFormat="1" applyFill="1" applyBorder="1">
      <alignment vertical="center"/>
    </xf>
    <xf numFmtId="187" fontId="31" fillId="15" borderId="12" xfId="0" applyNumberFormat="1" applyFont="1" applyFill="1" applyBorder="1">
      <alignment vertical="center"/>
    </xf>
    <xf numFmtId="187" fontId="0" fillId="15" borderId="12" xfId="0" applyNumberFormat="1" applyFill="1" applyBorder="1" applyAlignment="1">
      <alignment vertical="center" wrapText="1"/>
    </xf>
    <xf numFmtId="187" fontId="0" fillId="15" borderId="12" xfId="0" applyNumberFormat="1" applyFill="1" applyBorder="1" applyAlignment="1">
      <alignment horizontal="right" vertical="center"/>
    </xf>
    <xf numFmtId="187" fontId="28" fillId="0" borderId="12" xfId="0" applyNumberFormat="1" applyFont="1" applyBorder="1">
      <alignment vertical="center"/>
    </xf>
    <xf numFmtId="187" fontId="28" fillId="4" borderId="12" xfId="0" applyNumberFormat="1" applyFont="1" applyFill="1" applyBorder="1">
      <alignment vertical="center"/>
    </xf>
    <xf numFmtId="0" fontId="49" fillId="0" borderId="0" xfId="0" applyFont="1">
      <alignment vertical="center"/>
    </xf>
    <xf numFmtId="0" fontId="49" fillId="0" borderId="0" xfId="0" applyFont="1" applyAlignment="1">
      <alignment horizontal="right" vertical="center"/>
    </xf>
    <xf numFmtId="0" fontId="49" fillId="0" borderId="0" xfId="0" applyFont="1" applyProtection="1">
      <alignment vertical="center"/>
      <protection locked="0"/>
    </xf>
    <xf numFmtId="0" fontId="49" fillId="0" borderId="12" xfId="0" applyFont="1" applyBorder="1">
      <alignment vertical="center"/>
    </xf>
    <xf numFmtId="0" fontId="49" fillId="0" borderId="12" xfId="0" applyFont="1" applyBorder="1" applyAlignment="1">
      <alignment horizontal="center" vertical="center"/>
    </xf>
    <xf numFmtId="0" fontId="49" fillId="16" borderId="12" xfId="0" applyFont="1" applyFill="1" applyBorder="1" applyProtection="1">
      <alignment vertical="center"/>
      <protection locked="0"/>
    </xf>
    <xf numFmtId="2" fontId="49" fillId="0" borderId="12" xfId="0" applyNumberFormat="1" applyFont="1" applyBorder="1">
      <alignment vertical="center"/>
    </xf>
    <xf numFmtId="190" fontId="49" fillId="0" borderId="12" xfId="0" applyNumberFormat="1" applyFont="1" applyBorder="1">
      <alignment vertical="center"/>
    </xf>
    <xf numFmtId="190" fontId="49" fillId="0" borderId="12" xfId="1" applyNumberFormat="1" applyFont="1" applyBorder="1" applyAlignment="1" applyProtection="1">
      <alignment vertical="center"/>
    </xf>
    <xf numFmtId="0" fontId="43" fillId="0" borderId="0" xfId="0" applyFont="1">
      <alignment vertical="center"/>
    </xf>
    <xf numFmtId="0" fontId="43" fillId="0" borderId="12" xfId="0" applyFont="1" applyBorder="1" applyAlignment="1">
      <alignment horizontal="center" vertical="center"/>
    </xf>
    <xf numFmtId="0" fontId="49" fillId="0" borderId="0" xfId="0" applyFont="1" applyAlignment="1">
      <alignment vertical="center" wrapText="1"/>
    </xf>
    <xf numFmtId="38" fontId="49" fillId="0" borderId="0" xfId="1" applyFont="1" applyProtection="1">
      <alignment vertical="center"/>
    </xf>
    <xf numFmtId="0" fontId="23" fillId="3" borderId="0" xfId="0" applyFont="1" applyFill="1" applyAlignment="1" applyProtection="1">
      <alignment horizontal="center" vertical="center"/>
      <protection locked="0"/>
    </xf>
    <xf numFmtId="0" fontId="25" fillId="0" borderId="12" xfId="0" applyFont="1" applyBorder="1" applyAlignment="1">
      <alignment horizontal="center" vertical="center"/>
    </xf>
    <xf numFmtId="0" fontId="25" fillId="0" borderId="12" xfId="0" applyFont="1" applyBorder="1" applyAlignment="1">
      <alignment vertical="center" shrinkToFit="1"/>
    </xf>
    <xf numFmtId="190" fontId="49" fillId="16" borderId="12" xfId="0" applyNumberFormat="1" applyFont="1" applyFill="1" applyBorder="1" applyProtection="1">
      <alignment vertical="center"/>
      <protection locked="0"/>
    </xf>
    <xf numFmtId="0" fontId="15" fillId="0" borderId="0" xfId="0" applyFont="1" applyAlignment="1">
      <alignment horizontal="right" vertical="center"/>
    </xf>
    <xf numFmtId="191" fontId="3" fillId="0" borderId="0" xfId="0" applyNumberFormat="1" applyFont="1" applyAlignment="1">
      <alignment horizontal="right" vertical="center"/>
    </xf>
    <xf numFmtId="181" fontId="3" fillId="0" borderId="0" xfId="0" applyNumberFormat="1" applyFont="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3" fillId="0" borderId="0" xfId="0" applyFont="1" applyAlignment="1" applyProtection="1">
      <alignment horizontal="left" vertical="center"/>
      <protection locked="0"/>
    </xf>
    <xf numFmtId="49" fontId="15" fillId="0" borderId="0" xfId="0" applyNumberFormat="1" applyFont="1">
      <alignment vertical="center"/>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8" fontId="3" fillId="0" borderId="5" xfId="0" applyNumberFormat="1" applyFont="1" applyBorder="1" applyAlignment="1" applyProtection="1">
      <alignment horizontal="right" vertical="center"/>
      <protection locked="0"/>
    </xf>
    <xf numFmtId="0" fontId="3" fillId="0" borderId="0" xfId="0" applyFont="1" applyAlignment="1">
      <alignment horizontal="left" vertical="center" wrapText="1"/>
    </xf>
    <xf numFmtId="177" fontId="3" fillId="0" borderId="10" xfId="0" applyNumberFormat="1" applyFont="1" applyBorder="1" applyAlignment="1" applyProtection="1">
      <alignment horizontal="center" vertical="center"/>
      <protection locked="0"/>
    </xf>
    <xf numFmtId="185" fontId="3" fillId="0" borderId="1" xfId="0" applyNumberFormat="1" applyFont="1" applyBorder="1" applyAlignment="1" applyProtection="1">
      <alignment horizontal="center" vertical="center"/>
      <protection locked="0"/>
    </xf>
    <xf numFmtId="185" fontId="3" fillId="0" borderId="2" xfId="0" applyNumberFormat="1" applyFont="1" applyBorder="1" applyAlignment="1" applyProtection="1">
      <alignment horizontal="center" vertical="center"/>
      <protection locked="0"/>
    </xf>
    <xf numFmtId="177" fontId="3" fillId="0" borderId="5" xfId="0" applyNumberFormat="1" applyFont="1" applyBorder="1" applyAlignment="1" applyProtection="1">
      <alignment horizontal="center" vertical="center"/>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2" fillId="0" borderId="0" xfId="0" applyFont="1" applyAlignment="1">
      <alignment horizontal="left" vertical="center" wrapText="1"/>
    </xf>
    <xf numFmtId="0" fontId="3" fillId="0" borderId="12" xfId="0" applyFont="1" applyBorder="1" applyAlignment="1">
      <alignment horizontal="center" vertical="center"/>
    </xf>
    <xf numFmtId="0" fontId="3" fillId="0" borderId="12" xfId="0" applyFont="1" applyBorder="1" applyAlignment="1" applyProtection="1">
      <alignment horizontal="left" vertical="center"/>
      <protection locked="0"/>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Alignment="1">
      <alignment horizontal="center" vertical="center"/>
    </xf>
    <xf numFmtId="0" fontId="3" fillId="0" borderId="0" xfId="0" applyFont="1" applyAlignment="1" applyProtection="1">
      <alignment horizontal="left" vertical="center"/>
      <protection locked="0"/>
    </xf>
    <xf numFmtId="0" fontId="8" fillId="0" borderId="0" xfId="0" applyFont="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182" fontId="3" fillId="2" borderId="1" xfId="0" applyNumberFormat="1" applyFont="1" applyFill="1" applyBorder="1" applyAlignment="1">
      <alignment horizontal="center" vertical="center"/>
    </xf>
    <xf numFmtId="182" fontId="3" fillId="2" borderId="2" xfId="0" applyNumberFormat="1" applyFont="1" applyFill="1" applyBorder="1" applyAlignment="1">
      <alignment horizontal="center" vertical="center"/>
    </xf>
    <xf numFmtId="0" fontId="11" fillId="0" borderId="0" xfId="0" applyFont="1" applyAlignment="1">
      <alignment horizontal="left" vertical="center" wrapText="1"/>
    </xf>
    <xf numFmtId="0" fontId="9" fillId="0" borderId="0" xfId="0" applyFont="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181" fontId="3" fillId="2" borderId="1" xfId="0" applyNumberFormat="1" applyFont="1" applyFill="1" applyBorder="1" applyAlignment="1">
      <alignment horizontal="center" vertical="center"/>
    </xf>
    <xf numFmtId="181" fontId="3" fillId="2" borderId="2" xfId="0" applyNumberFormat="1" applyFont="1" applyFill="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14" fillId="0" borderId="0" xfId="0" applyFont="1" applyAlignment="1">
      <alignment horizontal="left" vertical="center" wrapText="1"/>
    </xf>
    <xf numFmtId="0" fontId="3" fillId="0" borderId="6"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9" fontId="3" fillId="0" borderId="0" xfId="0" applyNumberFormat="1" applyFont="1" applyAlignment="1">
      <alignment horizontal="center" vertical="center"/>
    </xf>
    <xf numFmtId="0" fontId="19" fillId="0" borderId="0" xfId="0" applyFont="1" applyAlignment="1">
      <alignment horizontal="center" vertical="center"/>
    </xf>
    <xf numFmtId="180" fontId="3" fillId="0" borderId="0" xfId="0" applyNumberFormat="1" applyFont="1" applyAlignment="1">
      <alignment horizontal="center" vertical="center"/>
    </xf>
    <xf numFmtId="180" fontId="3" fillId="0" borderId="1" xfId="0" applyNumberFormat="1" applyFont="1" applyBorder="1" applyAlignment="1" applyProtection="1">
      <alignment horizontal="right" vertical="center"/>
      <protection locked="0"/>
    </xf>
    <xf numFmtId="180" fontId="3" fillId="0" borderId="2" xfId="0" applyNumberFormat="1" applyFont="1" applyBorder="1" applyAlignment="1" applyProtection="1">
      <alignment horizontal="right" vertical="center"/>
      <protection locked="0"/>
    </xf>
    <xf numFmtId="180" fontId="3" fillId="0" borderId="3" xfId="0" applyNumberFormat="1" applyFont="1"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8"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49" fontId="3" fillId="0" borderId="9"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0" fontId="3" fillId="0" borderId="12" xfId="0" applyFont="1" applyBorder="1" applyAlignment="1" applyProtection="1">
      <alignment horizontal="center" vertical="center" shrinkToFit="1"/>
      <protection locked="0"/>
    </xf>
    <xf numFmtId="0" fontId="13" fillId="0" borderId="0" xfId="0" applyFont="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7" fillId="0" borderId="14" xfId="0" applyFont="1" applyBorder="1" applyAlignment="1">
      <alignment horizontal="center" vertical="center" wrapText="1"/>
    </xf>
    <xf numFmtId="0" fontId="2" fillId="0" borderId="0" xfId="0" applyFont="1" applyAlignment="1">
      <alignment horizontal="left" vertical="top" wrapText="1"/>
    </xf>
    <xf numFmtId="183" fontId="3" fillId="0" borderId="1" xfId="0" applyNumberFormat="1" applyFont="1" applyBorder="1" applyAlignment="1" applyProtection="1">
      <alignment horizontal="right" vertical="center"/>
      <protection locked="0"/>
    </xf>
    <xf numFmtId="183" fontId="3" fillId="0" borderId="2" xfId="0" applyNumberFormat="1" applyFont="1" applyBorder="1" applyAlignment="1" applyProtection="1">
      <alignment horizontal="right" vertical="center"/>
      <protection locked="0"/>
    </xf>
    <xf numFmtId="183" fontId="3" fillId="0" borderId="3" xfId="0" applyNumberFormat="1" applyFont="1" applyBorder="1" applyAlignment="1" applyProtection="1">
      <alignment horizontal="right" vertical="center"/>
      <protection locked="0"/>
    </xf>
    <xf numFmtId="178" fontId="3" fillId="0" borderId="10" xfId="0" applyNumberFormat="1" applyFont="1" applyBorder="1" applyAlignment="1" applyProtection="1">
      <alignment horizontal="right" vertical="center"/>
      <protection locked="0"/>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178" fontId="3" fillId="0" borderId="0" xfId="0" applyNumberFormat="1" applyFont="1" applyAlignment="1" applyProtection="1">
      <alignment horizontal="right" vertical="center"/>
      <protection locked="0"/>
    </xf>
    <xf numFmtId="177" fontId="3" fillId="0" borderId="0" xfId="0" applyNumberFormat="1" applyFont="1" applyAlignment="1" applyProtection="1">
      <alignment horizontal="center" vertical="center"/>
      <protection locked="0"/>
    </xf>
    <xf numFmtId="49" fontId="3" fillId="0" borderId="1"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177" fontId="3" fillId="0" borderId="2" xfId="0" applyNumberFormat="1" applyFont="1" applyBorder="1" applyAlignment="1" applyProtection="1">
      <alignment horizontal="center" vertical="center"/>
      <protection locked="0"/>
    </xf>
    <xf numFmtId="0" fontId="10" fillId="0" borderId="0" xfId="0" applyFont="1" applyAlignment="1">
      <alignment horizontal="left" vertical="center" wrapText="1"/>
    </xf>
    <xf numFmtId="0" fontId="3" fillId="0" borderId="8" xfId="0" applyFont="1" applyBorder="1" applyAlignment="1">
      <alignment horizontal="center" vertical="center"/>
    </xf>
    <xf numFmtId="0" fontId="3" fillId="0" borderId="4" xfId="0" applyFont="1" applyBorder="1" applyAlignment="1">
      <alignment horizontal="center" vertical="center"/>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protection locked="0"/>
    </xf>
    <xf numFmtId="0" fontId="3" fillId="0" borderId="0" xfId="0" applyFont="1" applyAlignment="1">
      <alignment horizontal="left" vertical="center"/>
    </xf>
    <xf numFmtId="0" fontId="7" fillId="0" borderId="0" xfId="0" applyFont="1" applyAlignment="1">
      <alignment horizontal="left" vertical="center" wrapText="1"/>
    </xf>
    <xf numFmtId="0" fontId="3" fillId="2" borderId="6" xfId="0" applyFont="1" applyFill="1" applyBorder="1" applyAlignment="1">
      <alignment horizontal="center" vertical="center"/>
    </xf>
    <xf numFmtId="181" fontId="3" fillId="2" borderId="5" xfId="0" applyNumberFormat="1" applyFont="1" applyFill="1" applyBorder="1" applyAlignment="1">
      <alignment horizontal="center" vertical="center"/>
    </xf>
    <xf numFmtId="181" fontId="3" fillId="2" borderId="7" xfId="0" applyNumberFormat="1" applyFont="1" applyFill="1" applyBorder="1" applyAlignment="1">
      <alignment horizontal="center" vertical="center"/>
    </xf>
    <xf numFmtId="181" fontId="3" fillId="2" borderId="9" xfId="0" applyNumberFormat="1" applyFont="1" applyFill="1" applyBorder="1" applyAlignment="1">
      <alignment horizontal="center" vertical="center"/>
    </xf>
    <xf numFmtId="181" fontId="3" fillId="2" borderId="10" xfId="0" applyNumberFormat="1" applyFont="1" applyFill="1" applyBorder="1" applyAlignment="1">
      <alignment horizontal="center" vertical="center"/>
    </xf>
    <xf numFmtId="181" fontId="3" fillId="2" borderId="11" xfId="0" applyNumberFormat="1" applyFont="1" applyFill="1" applyBorder="1" applyAlignment="1">
      <alignment horizontal="center" vertical="center"/>
    </xf>
    <xf numFmtId="0" fontId="3" fillId="0" borderId="12" xfId="0" applyFont="1" applyBorder="1" applyAlignment="1">
      <alignment horizontal="left"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91" fontId="3" fillId="2" borderId="1" xfId="0" applyNumberFormat="1" applyFont="1" applyFill="1" applyBorder="1" applyAlignment="1">
      <alignment horizontal="right" vertical="center"/>
    </xf>
    <xf numFmtId="191" fontId="3" fillId="2" borderId="2" xfId="0" applyNumberFormat="1" applyFont="1" applyFill="1" applyBorder="1" applyAlignment="1">
      <alignment horizontal="righ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3" fillId="3" borderId="1" xfId="0"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protection locked="0"/>
    </xf>
    <xf numFmtId="0" fontId="23" fillId="3" borderId="3" xfId="0" applyFont="1" applyFill="1" applyBorder="1" applyAlignment="1" applyProtection="1">
      <alignment horizontal="center" vertical="center"/>
      <protection locked="0"/>
    </xf>
    <xf numFmtId="0" fontId="3" fillId="0" borderId="7" xfId="0" applyFont="1" applyBorder="1" applyAlignment="1">
      <alignment horizontal="center" vertical="center" shrinkToFit="1"/>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8" fontId="3" fillId="0" borderId="1" xfId="0" applyNumberFormat="1" applyFont="1" applyBorder="1" applyAlignment="1" applyProtection="1">
      <alignment horizontal="right" vertical="center"/>
      <protection locked="0"/>
    </xf>
    <xf numFmtId="178" fontId="3" fillId="0" borderId="2" xfId="0" applyNumberFormat="1" applyFont="1" applyBorder="1" applyAlignment="1" applyProtection="1">
      <alignment horizontal="right" vertical="center"/>
      <protection locked="0"/>
    </xf>
    <xf numFmtId="0" fontId="49" fillId="0" borderId="12" xfId="0" applyFont="1" applyBorder="1" applyAlignment="1">
      <alignment horizontal="left" vertical="center" wrapText="1"/>
    </xf>
    <xf numFmtId="0" fontId="49" fillId="0" borderId="12" xfId="0" applyFont="1" applyBorder="1" applyAlignment="1">
      <alignment horizontal="left" vertical="center"/>
    </xf>
    <xf numFmtId="38" fontId="49" fillId="0" borderId="12" xfId="1" applyFont="1" applyFill="1" applyBorder="1" applyAlignment="1" applyProtection="1">
      <alignment horizontal="right" vertical="center"/>
    </xf>
    <xf numFmtId="38" fontId="49" fillId="16" borderId="12" xfId="1" applyFont="1" applyFill="1" applyBorder="1" applyAlignment="1" applyProtection="1">
      <alignment horizontal="right" vertical="center"/>
      <protection locked="0"/>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49" fillId="0" borderId="12" xfId="0" applyFont="1" applyBorder="1" applyAlignment="1">
      <alignment horizontal="center" vertical="center"/>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12" xfId="0" applyFont="1" applyBorder="1" applyAlignment="1">
      <alignment horizontal="center" vertical="center"/>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189" fontId="49" fillId="16" borderId="12" xfId="0" applyNumberFormat="1" applyFont="1" applyFill="1" applyBorder="1" applyAlignment="1" applyProtection="1">
      <alignment horizontal="center" vertical="center"/>
      <protection locked="0"/>
    </xf>
    <xf numFmtId="0" fontId="51" fillId="0" borderId="0" xfId="0" applyFont="1" applyAlignment="1">
      <alignment horizontal="center" vertical="center"/>
    </xf>
    <xf numFmtId="0" fontId="49" fillId="16" borderId="12" xfId="0" applyFont="1" applyFill="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184" fontId="3" fillId="0" borderId="1" xfId="0" applyNumberFormat="1" applyFont="1" applyBorder="1" applyAlignment="1">
      <alignment horizontal="right" vertical="center"/>
    </xf>
    <xf numFmtId="184" fontId="3" fillId="0" borderId="2" xfId="0" applyNumberFormat="1" applyFont="1" applyBorder="1" applyAlignment="1">
      <alignment horizontal="right"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24" fillId="0" borderId="10" xfId="0" applyFont="1" applyBorder="1" applyAlignment="1">
      <alignment horizontal="left" vertical="center" wrapText="1"/>
    </xf>
    <xf numFmtId="0" fontId="25" fillId="0" borderId="0" xfId="0" applyFont="1" applyAlignment="1">
      <alignment horizontal="left" vertical="center" wrapText="1"/>
    </xf>
    <xf numFmtId="187" fontId="29" fillId="6" borderId="1" xfId="0" applyNumberFormat="1" applyFont="1" applyFill="1" applyBorder="1" applyAlignment="1">
      <alignment horizontal="center" vertical="center"/>
    </xf>
    <xf numFmtId="187" fontId="29" fillId="6" borderId="2" xfId="0" applyNumberFormat="1" applyFont="1" applyFill="1" applyBorder="1" applyAlignment="1">
      <alignment horizontal="center" vertical="center"/>
    </xf>
    <xf numFmtId="187" fontId="29" fillId="6" borderId="3" xfId="0" applyNumberFormat="1" applyFont="1" applyFill="1" applyBorder="1" applyAlignment="1">
      <alignment horizontal="center" vertical="center"/>
    </xf>
    <xf numFmtId="186" fontId="28" fillId="0" borderId="1" xfId="0" applyNumberFormat="1" applyFont="1" applyBorder="1" applyAlignment="1">
      <alignment horizontal="center" vertical="center"/>
    </xf>
    <xf numFmtId="186" fontId="28" fillId="0" borderId="2" xfId="0" applyNumberFormat="1" applyFont="1" applyBorder="1" applyAlignment="1">
      <alignment horizontal="center" vertical="center"/>
    </xf>
    <xf numFmtId="186" fontId="28" fillId="0" borderId="3" xfId="0" applyNumberFormat="1" applyFont="1" applyBorder="1" applyAlignment="1">
      <alignment horizontal="center" vertical="center"/>
    </xf>
    <xf numFmtId="187" fontId="28" fillId="4" borderId="0" xfId="0" applyNumberFormat="1" applyFont="1" applyFill="1" applyAlignment="1">
      <alignment horizontal="center" vertical="top" wrapText="1"/>
    </xf>
    <xf numFmtId="187" fontId="28" fillId="4" borderId="10" xfId="0" applyNumberFormat="1" applyFont="1" applyFill="1" applyBorder="1" applyAlignment="1">
      <alignment horizontal="center" vertical="top" wrapText="1"/>
    </xf>
    <xf numFmtId="0" fontId="32" fillId="0" borderId="6" xfId="0" applyFont="1" applyBorder="1" applyAlignment="1">
      <alignment horizontal="left" vertical="top" wrapText="1"/>
    </xf>
    <xf numFmtId="0" fontId="32" fillId="0" borderId="5" xfId="0" applyFont="1" applyBorder="1" applyAlignment="1">
      <alignment horizontal="left" vertical="top" wrapText="1"/>
    </xf>
    <xf numFmtId="0" fontId="32" fillId="0" borderId="7" xfId="0" applyFont="1" applyBorder="1" applyAlignment="1">
      <alignment horizontal="left" vertical="top" wrapText="1"/>
    </xf>
    <xf numFmtId="0" fontId="32" fillId="0" borderId="9" xfId="0" applyFont="1" applyBorder="1" applyAlignment="1">
      <alignment horizontal="left" vertical="top" wrapText="1"/>
    </xf>
    <xf numFmtId="0" fontId="32" fillId="0" borderId="10" xfId="0" applyFont="1" applyBorder="1" applyAlignment="1">
      <alignment horizontal="left" vertical="top" wrapText="1"/>
    </xf>
    <xf numFmtId="0" fontId="32" fillId="0" borderId="11" xfId="0" applyFont="1" applyBorder="1" applyAlignment="1">
      <alignment horizontal="left" vertical="top" wrapText="1"/>
    </xf>
    <xf numFmtId="0" fontId="3" fillId="0" borderId="0" xfId="0" applyFont="1" applyAlignment="1">
      <alignment horizontal="left" vertical="top" wrapText="1"/>
    </xf>
  </cellXfs>
  <cellStyles count="2">
    <cellStyle name="桁区切り" xfId="1" builtinId="6"/>
    <cellStyle name="標準" xfId="0" builtinId="0"/>
  </cellStyles>
  <dxfs count="7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0000FF"/>
      <color rgb="FFFFFFCC"/>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219075</xdr:colOff>
      <xdr:row>53</xdr:row>
      <xdr:rowOff>200025</xdr:rowOff>
    </xdr:from>
    <xdr:to>
      <xdr:col>6</xdr:col>
      <xdr:colOff>619125</xdr:colOff>
      <xdr:row>53</xdr:row>
      <xdr:rowOff>200025</xdr:rowOff>
    </xdr:to>
    <xdr:cxnSp macro="">
      <xdr:nvCxnSpPr>
        <xdr:cNvPr id="2" name="直線矢印コネクタ 1">
          <a:extLst>
            <a:ext uri="{FF2B5EF4-FFF2-40B4-BE49-F238E27FC236}">
              <a16:creationId xmlns:a16="http://schemas.microsoft.com/office/drawing/2014/main" id="{CDAD6414-8538-4333-8A64-BBE38BD6A8BF}"/>
            </a:ext>
          </a:extLst>
        </xdr:cNvPr>
        <xdr:cNvCxnSpPr/>
      </xdr:nvCxnSpPr>
      <xdr:spPr>
        <a:xfrm flipH="1">
          <a:off x="4495800" y="8515350"/>
          <a:ext cx="4000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619125</xdr:colOff>
      <xdr:row>53</xdr:row>
      <xdr:rowOff>200025</xdr:rowOff>
    </xdr:from>
    <xdr:to>
      <xdr:col>6</xdr:col>
      <xdr:colOff>619125</xdr:colOff>
      <xdr:row>60</xdr:row>
      <xdr:rowOff>152025</xdr:rowOff>
    </xdr:to>
    <xdr:cxnSp macro="">
      <xdr:nvCxnSpPr>
        <xdr:cNvPr id="3" name="直線コネクタ 2">
          <a:extLst>
            <a:ext uri="{FF2B5EF4-FFF2-40B4-BE49-F238E27FC236}">
              <a16:creationId xmlns:a16="http://schemas.microsoft.com/office/drawing/2014/main" id="{CBAAB8E0-6392-46F4-B895-5346B6F642F6}"/>
            </a:ext>
          </a:extLst>
        </xdr:cNvPr>
        <xdr:cNvCxnSpPr/>
      </xdr:nvCxnSpPr>
      <xdr:spPr>
        <a:xfrm>
          <a:off x="4895850" y="8515350"/>
          <a:ext cx="0" cy="1476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211667</xdr:colOff>
      <xdr:row>60</xdr:row>
      <xdr:rowOff>152400</xdr:rowOff>
    </xdr:from>
    <xdr:to>
      <xdr:col>6</xdr:col>
      <xdr:colOff>611717</xdr:colOff>
      <xdr:row>60</xdr:row>
      <xdr:rowOff>152400</xdr:rowOff>
    </xdr:to>
    <xdr:cxnSp macro="">
      <xdr:nvCxnSpPr>
        <xdr:cNvPr id="4" name="直線矢印コネクタ 3">
          <a:extLst>
            <a:ext uri="{FF2B5EF4-FFF2-40B4-BE49-F238E27FC236}">
              <a16:creationId xmlns:a16="http://schemas.microsoft.com/office/drawing/2014/main" id="{7B55A3A9-10C2-4BF7-91C1-BF4B0BCBCEB8}"/>
            </a:ext>
          </a:extLst>
        </xdr:cNvPr>
        <xdr:cNvCxnSpPr/>
      </xdr:nvCxnSpPr>
      <xdr:spPr>
        <a:xfrm flipH="1">
          <a:off x="4488392" y="9991725"/>
          <a:ext cx="4000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KIHA~1\AppData\Local\Temp\notes1B8056\R7_youshiki6gou_shinntiku_zisseki20250401.xlsx" TargetMode="External"/><Relationship Id="rId1" Type="http://schemas.openxmlformats.org/officeDocument/2006/relationships/externalLinkPath" Target="file:///C:\Users\MAKIHA~1\AppData\Local\Temp\notes1B8056\R7_youshiki6gou_shinntiku_zisseki2025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６号】事業報告書兼チェックシート"/>
      <sheetName val="要入力　交付決定状況入力シート"/>
      <sheetName val="【様式第６号】（別紙）補助金併用一覧"/>
      <sheetName val="実績報告書鑑（報告書連動） (未来型)"/>
      <sheetName val="実績報告書鑑（報告書連動）（住まいる）"/>
      <sheetName val="住まいる台帳コピー"/>
    </sheetNames>
    <sheetDataSet>
      <sheetData sheetId="0">
        <row r="64">
          <cell r="B64" t="str">
            <v>✔</v>
          </cell>
        </row>
      </sheetData>
      <sheetData sheetId="1">
        <row r="12">
          <cell r="D12" t="str">
            <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I238"/>
  <sheetViews>
    <sheetView showGridLines="0" tabSelected="1" view="pageBreakPreview" zoomScale="90" zoomScaleNormal="100" zoomScaleSheetLayoutView="90" workbookViewId="0">
      <selection activeCell="I32" sqref="I32:K33"/>
    </sheetView>
  </sheetViews>
  <sheetFormatPr defaultColWidth="3.109375" defaultRowHeight="13.2" x14ac:dyDescent="0.2"/>
  <cols>
    <col min="1" max="1" width="4.21875" style="1" customWidth="1"/>
    <col min="2" max="2" width="3.6640625" style="1" customWidth="1"/>
    <col min="3" max="3" width="3.44140625" style="1" bestFit="1" customWidth="1"/>
    <col min="4"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77734375" style="1" customWidth="1"/>
    <col min="28" max="28" width="9.109375" style="3" bestFit="1" customWidth="1"/>
    <col min="29" max="31" width="3.109375" style="3"/>
    <col min="32" max="35" width="3.44140625" style="3" bestFit="1" customWidth="1"/>
    <col min="36" max="39" width="3.109375" style="3"/>
    <col min="40" max="41" width="3.44140625" style="3" bestFit="1" customWidth="1"/>
    <col min="42" max="55" width="3.109375" style="3"/>
    <col min="56" max="58" width="3.109375" style="1"/>
    <col min="59" max="59" width="7.21875" style="1" customWidth="1"/>
    <col min="60" max="16384" width="3.109375" style="1"/>
  </cols>
  <sheetData>
    <row r="1" spans="1:165" ht="13.5" customHeight="1" x14ac:dyDescent="0.2">
      <c r="A1" s="1" t="s">
        <v>109</v>
      </c>
      <c r="K1" s="2"/>
      <c r="L1" s="2"/>
      <c r="M1" s="2"/>
      <c r="N1" s="2"/>
      <c r="O1" s="2"/>
      <c r="P1" s="2"/>
      <c r="Q1" s="2"/>
      <c r="R1" s="2"/>
      <c r="Z1" s="39"/>
      <c r="AA1" s="300" t="s">
        <v>485</v>
      </c>
      <c r="AC1" s="4" t="s">
        <v>62</v>
      </c>
      <c r="BG1" s="1" t="s">
        <v>78</v>
      </c>
      <c r="BH1" s="1" t="s">
        <v>96</v>
      </c>
    </row>
    <row r="2" spans="1:165" ht="7.5" customHeight="1" x14ac:dyDescent="0.2">
      <c r="K2" s="2"/>
      <c r="L2" s="2"/>
      <c r="M2" s="2"/>
      <c r="N2" s="2"/>
      <c r="O2" s="2"/>
      <c r="P2" s="2"/>
      <c r="Q2" s="2"/>
      <c r="R2" s="2"/>
      <c r="AC2" s="4" t="s">
        <v>63</v>
      </c>
      <c r="BG2" s="1" t="s">
        <v>79</v>
      </c>
      <c r="BH2" s="1" t="s">
        <v>97</v>
      </c>
    </row>
    <row r="3" spans="1:165" ht="14.4" x14ac:dyDescent="0.2">
      <c r="A3" s="362" t="s">
        <v>491</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C3" s="4" t="s">
        <v>59</v>
      </c>
      <c r="BG3" s="1" t="s">
        <v>80</v>
      </c>
      <c r="BH3" s="1" t="s">
        <v>98</v>
      </c>
    </row>
    <row r="4" spans="1:165" ht="6" customHeight="1" x14ac:dyDescent="0.2">
      <c r="AC4" s="4"/>
      <c r="BG4" s="1" t="s">
        <v>81</v>
      </c>
      <c r="BH4" s="1" t="s">
        <v>97</v>
      </c>
    </row>
    <row r="5" spans="1:165" x14ac:dyDescent="0.2">
      <c r="A5" s="318" t="s">
        <v>492</v>
      </c>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BG5" s="1" t="s">
        <v>82</v>
      </c>
      <c r="BH5" s="1" t="s">
        <v>96</v>
      </c>
    </row>
    <row r="6" spans="1:165" x14ac:dyDescent="0.2">
      <c r="A6" s="318"/>
      <c r="B6" s="318"/>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BG6" s="1" t="s">
        <v>83</v>
      </c>
      <c r="BH6" s="1" t="s">
        <v>96</v>
      </c>
    </row>
    <row r="7" spans="1:165" ht="7.5" customHeight="1" x14ac:dyDescent="0.2">
      <c r="BG7" s="1" t="s">
        <v>84</v>
      </c>
      <c r="BH7" s="1" t="s">
        <v>96</v>
      </c>
    </row>
    <row r="8" spans="1:165" x14ac:dyDescent="0.2">
      <c r="C8" s="390">
        <v>7</v>
      </c>
      <c r="D8" s="390"/>
      <c r="E8" s="390"/>
      <c r="F8" s="390"/>
      <c r="G8" s="1" t="s">
        <v>9</v>
      </c>
      <c r="H8" s="391"/>
      <c r="I8" s="391"/>
      <c r="J8" s="1" t="s">
        <v>22</v>
      </c>
      <c r="K8" s="391"/>
      <c r="L8" s="391"/>
      <c r="M8" s="1" t="s">
        <v>8</v>
      </c>
      <c r="AB8" s="4" t="str">
        <f>IF(OR(C8="",H8="",K8=""),"←リストから選択してください（和暦年月日）","")</f>
        <v>←リストから選択してください（和暦年月日）</v>
      </c>
      <c r="BG8" s="1" t="s">
        <v>99</v>
      </c>
      <c r="BH8" s="1" t="s">
        <v>96</v>
      </c>
    </row>
    <row r="9" spans="1:165" ht="4.5" customHeight="1" x14ac:dyDescent="0.2">
      <c r="BG9" s="1" t="s">
        <v>85</v>
      </c>
      <c r="BH9" s="1" t="s">
        <v>98</v>
      </c>
    </row>
    <row r="10" spans="1:165" x14ac:dyDescent="0.2">
      <c r="K10" s="5" t="s">
        <v>21</v>
      </c>
      <c r="L10" s="6" t="s">
        <v>12</v>
      </c>
      <c r="M10" s="7"/>
      <c r="N10" s="6" t="s">
        <v>11</v>
      </c>
      <c r="O10" s="356"/>
      <c r="P10" s="356"/>
      <c r="Q10" s="356"/>
      <c r="R10" s="356"/>
      <c r="S10" s="356"/>
      <c r="T10" s="356"/>
      <c r="U10" s="356"/>
      <c r="V10" s="356"/>
      <c r="W10" s="356"/>
      <c r="X10" s="356"/>
      <c r="Y10" s="356"/>
      <c r="Z10" s="357"/>
      <c r="AB10" s="4" t="str">
        <f>IF(O10="","←直接郵便番号を記入してください","")</f>
        <v>←直接郵便番号を記入してください</v>
      </c>
      <c r="BG10" s="1" t="s">
        <v>86</v>
      </c>
      <c r="BH10" s="1" t="s">
        <v>98</v>
      </c>
    </row>
    <row r="11" spans="1:165" ht="22.2" customHeight="1" x14ac:dyDescent="0.2">
      <c r="L11" s="8"/>
      <c r="M11" s="9"/>
      <c r="N11" s="395"/>
      <c r="O11" s="396"/>
      <c r="P11" s="396"/>
      <c r="Q11" s="396"/>
      <c r="R11" s="396"/>
      <c r="S11" s="396"/>
      <c r="T11" s="396"/>
      <c r="U11" s="396"/>
      <c r="V11" s="396"/>
      <c r="W11" s="396"/>
      <c r="X11" s="396"/>
      <c r="Y11" s="396"/>
      <c r="Z11" s="397"/>
      <c r="AB11" s="4" t="str">
        <f>IF(N11="","←直接転居後の住所を記入してください","")</f>
        <v>←直接転居後の住所を記入してください</v>
      </c>
      <c r="BG11" s="1" t="s">
        <v>87</v>
      </c>
      <c r="BH11" s="1" t="s">
        <v>98</v>
      </c>
      <c r="FI11" s="1" t="e">
        <f>IF(【様式第６号の２】事業報告書兼チェックシート!Y102="",IF)</f>
        <v>#NAME?</v>
      </c>
    </row>
    <row r="12" spans="1:165" x14ac:dyDescent="0.2">
      <c r="L12" s="10" t="s">
        <v>6</v>
      </c>
      <c r="M12" s="11"/>
      <c r="N12" s="367"/>
      <c r="O12" s="368"/>
      <c r="P12" s="368"/>
      <c r="Q12" s="368"/>
      <c r="R12" s="368"/>
      <c r="S12" s="368"/>
      <c r="T12" s="368"/>
      <c r="U12" s="368"/>
      <c r="V12" s="368"/>
      <c r="W12" s="368"/>
      <c r="X12" s="368"/>
      <c r="Y12" s="368"/>
      <c r="Z12" s="369"/>
      <c r="AB12" s="4" t="str">
        <f>IF(N12="","←直接建築主の氏名を記入してください","")</f>
        <v>←直接建築主の氏名を記入してください</v>
      </c>
      <c r="BG12" s="1" t="s">
        <v>88</v>
      </c>
      <c r="BH12" s="1" t="s">
        <v>98</v>
      </c>
    </row>
    <row r="13" spans="1:165" x14ac:dyDescent="0.2">
      <c r="L13" s="10" t="s">
        <v>10</v>
      </c>
      <c r="M13" s="11"/>
      <c r="N13" s="392"/>
      <c r="O13" s="393"/>
      <c r="P13" s="393"/>
      <c r="Q13" s="393"/>
      <c r="R13" s="393"/>
      <c r="S13" s="393"/>
      <c r="T13" s="393"/>
      <c r="U13" s="393"/>
      <c r="V13" s="393"/>
      <c r="W13" s="393"/>
      <c r="X13" s="393"/>
      <c r="Y13" s="393"/>
      <c r="Z13" s="394"/>
      <c r="AB13" s="4" t="str">
        <f>IF(N13="","←直接電話番号を記入してください","")</f>
        <v>←直接電話番号を記入してください</v>
      </c>
      <c r="BG13" s="1" t="s">
        <v>89</v>
      </c>
      <c r="BH13" s="1" t="s">
        <v>97</v>
      </c>
    </row>
    <row r="14" spans="1:165" x14ac:dyDescent="0.2">
      <c r="A14" s="1" t="s">
        <v>37</v>
      </c>
      <c r="BG14" s="1" t="s">
        <v>90</v>
      </c>
      <c r="BH14" s="1" t="s">
        <v>97</v>
      </c>
    </row>
    <row r="15" spans="1:165" x14ac:dyDescent="0.2">
      <c r="A15" s="1" t="s">
        <v>36</v>
      </c>
      <c r="AA15" s="12"/>
      <c r="BG15" s="1" t="s">
        <v>91</v>
      </c>
      <c r="BH15" s="1" t="s">
        <v>97</v>
      </c>
    </row>
    <row r="16" spans="1:165" ht="27" customHeight="1" x14ac:dyDescent="0.2">
      <c r="A16" s="318" t="s">
        <v>149</v>
      </c>
      <c r="B16" s="318"/>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BG16" s="1" t="s">
        <v>92</v>
      </c>
      <c r="BH16" s="1" t="s">
        <v>97</v>
      </c>
    </row>
    <row r="17" spans="1:60" ht="3" customHeight="1" x14ac:dyDescent="0.2">
      <c r="AA17" s="12"/>
      <c r="BG17" s="1" t="s">
        <v>93</v>
      </c>
      <c r="BH17" s="1" t="s">
        <v>97</v>
      </c>
    </row>
    <row r="18" spans="1:60" x14ac:dyDescent="0.2">
      <c r="A18" s="1" t="s">
        <v>26</v>
      </c>
      <c r="BG18" s="1" t="s">
        <v>94</v>
      </c>
      <c r="BH18" s="1" t="s">
        <v>97</v>
      </c>
    </row>
    <row r="19" spans="1:60" ht="5.7" customHeight="1" x14ac:dyDescent="0.2">
      <c r="AA19" s="12"/>
      <c r="BG19" s="1" t="s">
        <v>95</v>
      </c>
      <c r="BH19" s="1" t="s">
        <v>97</v>
      </c>
    </row>
    <row r="20" spans="1:60" ht="13.5" customHeight="1" x14ac:dyDescent="0.2">
      <c r="B20" s="51"/>
      <c r="C20" s="318" t="s">
        <v>107</v>
      </c>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row>
    <row r="21" spans="1:60" x14ac:dyDescent="0.2">
      <c r="B21" s="29"/>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row>
    <row r="22" spans="1:60" ht="15.75" customHeight="1" x14ac:dyDescent="0.2">
      <c r="B22" s="29"/>
      <c r="C22" s="325" t="s">
        <v>108</v>
      </c>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row>
    <row r="23" spans="1:60" ht="5.7" customHeight="1" x14ac:dyDescent="0.2">
      <c r="AA23" s="12"/>
    </row>
    <row r="24" spans="1:60" ht="13.5" customHeight="1" x14ac:dyDescent="0.2">
      <c r="B24" s="51"/>
      <c r="C24" s="318" t="s">
        <v>411</v>
      </c>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row>
    <row r="25" spans="1:60" x14ac:dyDescent="0.2">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row>
    <row r="26" spans="1:60" ht="5.25" customHeight="1" x14ac:dyDescent="0.2">
      <c r="C26" s="14"/>
      <c r="D26" s="13"/>
    </row>
    <row r="27" spans="1:60" ht="4.5" customHeight="1" x14ac:dyDescent="0.2">
      <c r="C27" s="13"/>
    </row>
    <row r="28" spans="1:60" ht="3.75" customHeight="1" x14ac:dyDescent="0.2">
      <c r="C28" s="13"/>
    </row>
    <row r="29" spans="1:60" x14ac:dyDescent="0.2">
      <c r="D29" s="328" t="s">
        <v>1</v>
      </c>
      <c r="E29" s="329"/>
      <c r="F29" s="329"/>
      <c r="G29" s="329"/>
      <c r="H29" s="330"/>
      <c r="I29" s="314" t="s">
        <v>73</v>
      </c>
      <c r="J29" s="315"/>
      <c r="K29" s="315"/>
      <c r="L29" s="316"/>
      <c r="M29" s="311"/>
      <c r="N29" s="312"/>
      <c r="O29" s="312"/>
      <c r="P29" s="312"/>
      <c r="Q29" s="312"/>
      <c r="R29" s="312"/>
      <c r="S29" s="312"/>
      <c r="T29" s="312"/>
      <c r="U29" s="312"/>
      <c r="V29" s="312"/>
      <c r="W29" s="312"/>
      <c r="X29" s="313"/>
      <c r="AB29" s="4" t="str">
        <f>IF(M29="","←リストから選択してください（市町村名）","")</f>
        <v>←リストから選択してください（市町村名）</v>
      </c>
      <c r="BG29" s="1" t="str">
        <f>IF(M29="","",VLOOKUP(M29,BG1:BH19,2,FALSE))</f>
        <v/>
      </c>
    </row>
    <row r="30" spans="1:60" x14ac:dyDescent="0.2">
      <c r="D30" s="333"/>
      <c r="E30" s="334"/>
      <c r="F30" s="334"/>
      <c r="G30" s="334"/>
      <c r="H30" s="335"/>
      <c r="I30" s="367"/>
      <c r="J30" s="368"/>
      <c r="K30" s="368"/>
      <c r="L30" s="368"/>
      <c r="M30" s="368"/>
      <c r="N30" s="368"/>
      <c r="O30" s="368"/>
      <c r="P30" s="368"/>
      <c r="Q30" s="368"/>
      <c r="R30" s="368"/>
      <c r="S30" s="368"/>
      <c r="T30" s="368"/>
      <c r="U30" s="368"/>
      <c r="V30" s="368"/>
      <c r="W30" s="368"/>
      <c r="X30" s="369"/>
      <c r="AB30" s="4" t="str">
        <f>IF(I30="","←市町村名より後の所在地を直接記入してください","")</f>
        <v>←市町村名より後の所在地を直接記入してください</v>
      </c>
    </row>
    <row r="31" spans="1:60" x14ac:dyDescent="0.2">
      <c r="D31" s="328" t="s">
        <v>110</v>
      </c>
      <c r="E31" s="329"/>
      <c r="F31" s="329"/>
      <c r="G31" s="329"/>
      <c r="H31" s="330"/>
      <c r="I31" s="311"/>
      <c r="J31" s="312"/>
      <c r="K31" s="312"/>
      <c r="L31" s="312"/>
      <c r="M31" s="312"/>
      <c r="N31" s="313"/>
      <c r="O31" s="314" t="s">
        <v>77</v>
      </c>
      <c r="P31" s="315"/>
      <c r="Q31" s="315"/>
      <c r="R31" s="316"/>
      <c r="S31" s="320"/>
      <c r="T31" s="321"/>
      <c r="U31" s="321"/>
      <c r="V31" s="321"/>
      <c r="W31" s="315" t="s">
        <v>67</v>
      </c>
      <c r="X31" s="316"/>
      <c r="AB31" s="4" t="str">
        <f>IF(I31="","←リストから選択してください（増築、改築、修繕、模様替）","")</f>
        <v>←リストから選択してください（増築、改築、修繕、模様替）</v>
      </c>
    </row>
    <row r="32" spans="1:60" x14ac:dyDescent="0.2">
      <c r="D32" s="328" t="s">
        <v>104</v>
      </c>
      <c r="E32" s="329"/>
      <c r="F32" s="329"/>
      <c r="G32" s="329"/>
      <c r="H32" s="330"/>
      <c r="I32" s="370"/>
      <c r="J32" s="371"/>
      <c r="K32" s="371"/>
      <c r="L32" s="330" t="s">
        <v>122</v>
      </c>
      <c r="M32" s="349"/>
      <c r="N32" s="349"/>
      <c r="O32" s="349"/>
      <c r="P32" s="349"/>
      <c r="Q32" s="349"/>
      <c r="R32" s="332"/>
      <c r="S32" s="332"/>
      <c r="T32" s="332"/>
      <c r="U32" s="332"/>
      <c r="V32" s="331"/>
      <c r="W32" s="331"/>
      <c r="X32" s="17"/>
      <c r="AB32" s="15" t="str">
        <f>IF(I32="","←延床面積を入力してください。",IF(AND(I31="併用住宅",V32=""),"←面積を入力してください。",""))</f>
        <v>←延床面積を入力してください。</v>
      </c>
    </row>
    <row r="33" spans="2:28" x14ac:dyDescent="0.2">
      <c r="D33" s="333"/>
      <c r="E33" s="334"/>
      <c r="F33" s="334"/>
      <c r="G33" s="334"/>
      <c r="H33" s="335"/>
      <c r="I33" s="370"/>
      <c r="J33" s="371"/>
      <c r="K33" s="371"/>
      <c r="L33" s="335"/>
      <c r="M33" s="349"/>
      <c r="N33" s="349"/>
      <c r="O33" s="349"/>
      <c r="P33" s="349"/>
      <c r="Q33" s="349"/>
      <c r="R33" s="332"/>
      <c r="S33" s="332"/>
      <c r="T33" s="332"/>
      <c r="U33" s="332"/>
      <c r="V33" s="331"/>
      <c r="W33" s="331"/>
      <c r="X33" s="17"/>
      <c r="AB33" s="15" t="str">
        <f>IF(AND(I31="併用住宅",V33=""),"←面積を入力してください。","")</f>
        <v/>
      </c>
    </row>
    <row r="34" spans="2:28" x14ac:dyDescent="0.2">
      <c r="D34" s="326" t="s">
        <v>24</v>
      </c>
      <c r="E34" s="326"/>
      <c r="F34" s="326"/>
      <c r="G34" s="326"/>
      <c r="H34" s="326"/>
      <c r="I34" s="327" t="s">
        <v>509</v>
      </c>
      <c r="J34" s="327"/>
      <c r="K34" s="327"/>
      <c r="L34" s="327"/>
      <c r="M34" s="327"/>
      <c r="N34" s="327"/>
      <c r="O34" s="327"/>
      <c r="P34" s="327"/>
      <c r="Q34" s="327"/>
      <c r="R34" s="327"/>
      <c r="S34" s="327"/>
      <c r="T34" s="327"/>
      <c r="U34" s="327"/>
      <c r="V34" s="327"/>
      <c r="W34" s="327"/>
      <c r="X34" s="327"/>
      <c r="AB34" s="4" t="str">
        <f>IF(I34="","←リストから選択してください（在来軸組工法・その他）","")</f>
        <v/>
      </c>
    </row>
    <row r="35" spans="2:28" x14ac:dyDescent="0.2">
      <c r="D35" s="328" t="s">
        <v>2</v>
      </c>
      <c r="E35" s="329"/>
      <c r="F35" s="329"/>
      <c r="G35" s="329"/>
      <c r="H35" s="330"/>
      <c r="I35" s="385" t="s">
        <v>105</v>
      </c>
      <c r="J35" s="386"/>
      <c r="K35" s="386"/>
      <c r="L35" s="386"/>
      <c r="M35" s="386"/>
      <c r="N35" s="317"/>
      <c r="O35" s="317"/>
      <c r="P35" s="317"/>
      <c r="Q35" s="317"/>
      <c r="R35" s="31" t="s">
        <v>9</v>
      </c>
      <c r="S35" s="322"/>
      <c r="T35" s="322"/>
      <c r="U35" s="31" t="s">
        <v>22</v>
      </c>
      <c r="V35" s="322"/>
      <c r="W35" s="322"/>
      <c r="X35" s="7" t="s">
        <v>8</v>
      </c>
      <c r="AB35" s="4" t="str">
        <f>IF(OR(N35="",S35="",V35=""),"←リストから選択してください（和暦年月日）","")</f>
        <v>←リストから選択してください（和暦年月日）</v>
      </c>
    </row>
    <row r="36" spans="2:28" x14ac:dyDescent="0.2">
      <c r="D36" s="333"/>
      <c r="E36" s="334"/>
      <c r="F36" s="334"/>
      <c r="G36" s="334"/>
      <c r="H36" s="335"/>
      <c r="I36" s="323" t="s">
        <v>106</v>
      </c>
      <c r="J36" s="324"/>
      <c r="K36" s="324"/>
      <c r="L36" s="324"/>
      <c r="M36" s="324"/>
      <c r="N36" s="384"/>
      <c r="O36" s="384"/>
      <c r="P36" s="384"/>
      <c r="Q36" s="384"/>
      <c r="R36" s="16" t="s">
        <v>9</v>
      </c>
      <c r="S36" s="319"/>
      <c r="T36" s="319"/>
      <c r="U36" s="16" t="s">
        <v>22</v>
      </c>
      <c r="V36" s="319"/>
      <c r="W36" s="319"/>
      <c r="X36" s="9" t="s">
        <v>8</v>
      </c>
      <c r="AB36" s="4" t="str">
        <f>IF(OR(N36="",S36="",V36=""),"←リストから選択してください（和暦年月日）","")</f>
        <v>←リストから選択してください（和暦年月日）</v>
      </c>
    </row>
    <row r="37" spans="2:28" ht="11.1" customHeight="1" x14ac:dyDescent="0.2">
      <c r="D37" s="336" t="str">
        <f>IF(I34="その他","（工法名）","")</f>
        <v/>
      </c>
      <c r="E37" s="336"/>
      <c r="F37" s="336"/>
      <c r="G37" s="336"/>
      <c r="H37" s="336"/>
      <c r="I37" s="337"/>
      <c r="J37" s="337"/>
      <c r="K37" s="337"/>
      <c r="L37" s="337"/>
      <c r="M37" s="337"/>
      <c r="N37" s="337"/>
      <c r="O37" s="337"/>
      <c r="P37" s="337"/>
      <c r="Q37" s="337"/>
      <c r="R37" s="337"/>
      <c r="S37" s="337"/>
      <c r="T37" s="337"/>
      <c r="U37" s="337"/>
      <c r="V37" s="337"/>
      <c r="W37" s="337"/>
      <c r="X37" s="337"/>
      <c r="Y37" s="17" t="str">
        <f>IF(AND($I$34="その他",I37=""),"←工法を直接入力してください","")</f>
        <v/>
      </c>
    </row>
    <row r="38" spans="2:28" ht="2.7" customHeight="1" x14ac:dyDescent="0.2">
      <c r="AA38" s="12"/>
    </row>
    <row r="39" spans="2:28" x14ac:dyDescent="0.2">
      <c r="B39" s="51"/>
      <c r="C39" s="1" t="s">
        <v>101</v>
      </c>
    </row>
    <row r="40" spans="2:28" x14ac:dyDescent="0.2">
      <c r="D40" s="314" t="s">
        <v>3</v>
      </c>
      <c r="E40" s="315"/>
      <c r="F40" s="315"/>
      <c r="G40" s="315"/>
      <c r="H40" s="316"/>
      <c r="I40" s="355"/>
      <c r="J40" s="356"/>
      <c r="K40" s="356"/>
      <c r="L40" s="356"/>
      <c r="M40" s="356"/>
      <c r="N40" s="356"/>
      <c r="O40" s="356"/>
      <c r="P40" s="356"/>
      <c r="Q40" s="356"/>
      <c r="R40" s="356"/>
      <c r="S40" s="356"/>
      <c r="T40" s="356"/>
      <c r="U40" s="356"/>
      <c r="V40" s="356"/>
      <c r="W40" s="356"/>
      <c r="X40" s="357"/>
      <c r="AB40" s="4" t="str">
        <f>IF(I40="","←直接記入してください","")</f>
        <v>←直接記入してください</v>
      </c>
    </row>
    <row r="41" spans="2:28" x14ac:dyDescent="0.2">
      <c r="D41" s="314" t="s">
        <v>4</v>
      </c>
      <c r="E41" s="315"/>
      <c r="F41" s="315"/>
      <c r="G41" s="315"/>
      <c r="H41" s="316"/>
      <c r="I41" s="367"/>
      <c r="J41" s="368"/>
      <c r="K41" s="368"/>
      <c r="L41" s="368"/>
      <c r="M41" s="368"/>
      <c r="N41" s="368"/>
      <c r="O41" s="368"/>
      <c r="P41" s="368"/>
      <c r="Q41" s="368"/>
      <c r="R41" s="368"/>
      <c r="S41" s="368"/>
      <c r="T41" s="368"/>
      <c r="U41" s="368"/>
      <c r="V41" s="368"/>
      <c r="W41" s="368"/>
      <c r="X41" s="369"/>
      <c r="AB41" s="4" t="str">
        <f>IF(I41="","←直接記入してください","")</f>
        <v>←直接記入してください</v>
      </c>
    </row>
    <row r="42" spans="2:28" x14ac:dyDescent="0.2">
      <c r="D42" s="314" t="s">
        <v>23</v>
      </c>
      <c r="E42" s="315"/>
      <c r="F42" s="315"/>
      <c r="G42" s="315"/>
      <c r="H42" s="316"/>
      <c r="I42" s="372"/>
      <c r="J42" s="373"/>
      <c r="K42" s="373"/>
      <c r="L42" s="373"/>
      <c r="M42" s="373"/>
      <c r="N42" s="373"/>
      <c r="O42" s="373"/>
      <c r="P42" s="373"/>
      <c r="Q42" s="373"/>
      <c r="R42" s="373"/>
      <c r="S42" s="373"/>
      <c r="T42" s="373"/>
      <c r="U42" s="373"/>
      <c r="V42" s="373"/>
      <c r="W42" s="373"/>
      <c r="X42" s="374"/>
      <c r="AB42" s="4" t="str">
        <f>IF(I42="","←直接記入してください","")</f>
        <v>←直接記入してください</v>
      </c>
    </row>
    <row r="43" spans="2:28" ht="5.7" customHeight="1" x14ac:dyDescent="0.2"/>
    <row r="44" spans="2:28" x14ac:dyDescent="0.2">
      <c r="B44" s="51"/>
      <c r="C44" s="1" t="s">
        <v>100</v>
      </c>
    </row>
    <row r="45" spans="2:28" x14ac:dyDescent="0.2">
      <c r="D45" s="314" t="s">
        <v>25</v>
      </c>
      <c r="E45" s="315"/>
      <c r="F45" s="315"/>
      <c r="G45" s="315"/>
      <c r="H45" s="316"/>
      <c r="I45" s="311"/>
      <c r="J45" s="312"/>
      <c r="K45" s="312"/>
      <c r="L45" s="312"/>
      <c r="M45" s="312"/>
      <c r="N45" s="313"/>
      <c r="O45" s="314" t="s">
        <v>111</v>
      </c>
      <c r="P45" s="315"/>
      <c r="Q45" s="315"/>
      <c r="R45" s="315"/>
      <c r="S45" s="316"/>
      <c r="T45" s="311"/>
      <c r="U45" s="312"/>
      <c r="V45" s="312"/>
      <c r="W45" s="312"/>
      <c r="X45" s="312"/>
      <c r="Y45" s="313"/>
      <c r="AB45" s="4" t="str">
        <f>IF(OR(I45="",T45=""),"←リストから選択してください（要・不要）","")</f>
        <v>←リストから選択してください（要・不要）</v>
      </c>
    </row>
    <row r="46" spans="2:28" x14ac:dyDescent="0.2">
      <c r="D46" s="314" t="s">
        <v>202</v>
      </c>
      <c r="E46" s="315"/>
      <c r="F46" s="315"/>
      <c r="G46" s="315"/>
      <c r="H46" s="316"/>
      <c r="I46" s="311"/>
      <c r="J46" s="312"/>
      <c r="K46" s="312"/>
      <c r="L46" s="312"/>
      <c r="M46" s="312"/>
      <c r="N46" s="313"/>
      <c r="O46" s="385" t="s">
        <v>203</v>
      </c>
      <c r="P46" s="386"/>
      <c r="Q46" s="386"/>
      <c r="R46" s="386"/>
      <c r="S46" s="428"/>
      <c r="T46" s="429"/>
      <c r="U46" s="430"/>
      <c r="V46" s="430"/>
      <c r="W46" s="430"/>
      <c r="X46" s="430"/>
      <c r="Y46" s="431"/>
      <c r="AB46" s="4" t="str">
        <f>IF(OR(I46="",T46=""),"←リストから選択してください（有・無）","")</f>
        <v>←リストから選択してください（有・無）</v>
      </c>
    </row>
    <row r="47" spans="2:28" x14ac:dyDescent="0.2">
      <c r="D47" s="432" t="s">
        <v>204</v>
      </c>
      <c r="E47" s="433"/>
      <c r="F47" s="433"/>
      <c r="G47" s="433"/>
      <c r="H47" s="433"/>
      <c r="I47" s="433"/>
      <c r="J47" s="433"/>
      <c r="K47" s="433"/>
      <c r="L47" s="433"/>
      <c r="M47" s="433"/>
      <c r="N47" s="434"/>
      <c r="O47" s="435"/>
      <c r="P47" s="436"/>
      <c r="Q47" s="436"/>
      <c r="R47" s="83" t="s">
        <v>9</v>
      </c>
      <c r="S47" s="398"/>
      <c r="T47" s="398"/>
      <c r="U47" s="83" t="s">
        <v>22</v>
      </c>
      <c r="V47" s="398"/>
      <c r="W47" s="398"/>
      <c r="X47" s="83" t="s">
        <v>8</v>
      </c>
      <c r="Y47" s="11"/>
      <c r="AB47" s="4" t="str">
        <f>IF(AND(OR(I45="要",T45="要"),OR(O47="",S47="",V47="")),"←リストから選択してください（和暦年月日）","")</f>
        <v/>
      </c>
    </row>
    <row r="48" spans="2:28" ht="15.75" customHeight="1" x14ac:dyDescent="0.2">
      <c r="E48" s="32" t="str">
        <f>IF(I45="要","＜実績報告時の提出書類＞検査済証の写し",IF(T45="要","＜実績報告時の提出書類＞建築工事届の写し",""))</f>
        <v/>
      </c>
    </row>
    <row r="49" spans="1:27" x14ac:dyDescent="0.2">
      <c r="B49" s="51"/>
      <c r="C49" s="1" t="s">
        <v>144</v>
      </c>
    </row>
    <row r="50" spans="1:27" ht="5.7" customHeight="1" x14ac:dyDescent="0.2"/>
    <row r="51" spans="1:27" s="3" customFormat="1" x14ac:dyDescent="0.2">
      <c r="A51" s="1"/>
      <c r="B51" s="51"/>
      <c r="C51" s="1" t="s">
        <v>481</v>
      </c>
      <c r="D51" s="1"/>
      <c r="E51" s="1"/>
      <c r="F51" s="1"/>
      <c r="G51" s="1"/>
      <c r="H51" s="1"/>
      <c r="I51" s="1"/>
      <c r="J51" s="1"/>
      <c r="K51" s="1"/>
      <c r="L51" s="1"/>
      <c r="M51" s="1"/>
      <c r="N51" s="1"/>
      <c r="O51" s="1"/>
      <c r="P51" s="1"/>
      <c r="Q51" s="1"/>
      <c r="R51" s="1" t="s">
        <v>482</v>
      </c>
      <c r="S51" s="1"/>
      <c r="T51" s="1"/>
      <c r="U51" s="311"/>
      <c r="V51" s="312"/>
      <c r="W51" s="312"/>
      <c r="X51" s="312"/>
      <c r="Y51" s="312"/>
      <c r="Z51" s="313"/>
      <c r="AA51" s="1"/>
    </row>
    <row r="52" spans="1:27" s="3" customFormat="1" x14ac:dyDescent="0.2">
      <c r="A52" s="1"/>
      <c r="B52" s="1"/>
      <c r="C52" s="65" t="str">
        <f>IF(B51="✔",IF(U51="","",IF(U51="その他","","　別シートの【様式第６号の３】に必要事項を入力してください。")),"")</f>
        <v/>
      </c>
      <c r="D52" s="1"/>
      <c r="E52" s="1"/>
      <c r="F52" s="1"/>
      <c r="G52" s="1"/>
      <c r="H52" s="1"/>
      <c r="I52" s="1"/>
      <c r="J52" s="1"/>
      <c r="K52" s="1"/>
      <c r="L52" s="1"/>
      <c r="M52" s="1"/>
      <c r="N52" s="1"/>
      <c r="O52" s="1"/>
      <c r="P52" s="1"/>
      <c r="Q52" s="1"/>
      <c r="R52" s="1"/>
      <c r="S52" s="1"/>
      <c r="T52" s="1"/>
      <c r="U52" s="1"/>
      <c r="V52" s="1"/>
      <c r="W52" s="1"/>
      <c r="X52" s="1"/>
      <c r="Y52" s="1"/>
      <c r="Z52" s="1"/>
      <c r="AA52" s="1"/>
    </row>
    <row r="53" spans="1:27" s="3" customFormat="1" ht="15.75" customHeight="1" x14ac:dyDescent="0.2">
      <c r="A53" s="1"/>
      <c r="B53" s="1"/>
      <c r="C53" s="65" t="str">
        <f>IF(B51="✔",IF(U51="","",IF(U51="その他","","　別途、健康省エネ改修の認定申請が必要です。※申請がない場合、補助金が受けられません。")),"")</f>
        <v/>
      </c>
      <c r="D53" s="1"/>
      <c r="E53" s="1"/>
      <c r="F53" s="1"/>
      <c r="G53" s="1"/>
      <c r="H53" s="1"/>
      <c r="I53" s="1"/>
      <c r="J53" s="1"/>
      <c r="K53" s="1"/>
      <c r="L53" s="1"/>
      <c r="M53" s="1"/>
      <c r="N53" s="1"/>
      <c r="O53" s="1"/>
      <c r="P53" s="1"/>
      <c r="Q53" s="1"/>
      <c r="R53" s="1"/>
      <c r="S53" s="1"/>
      <c r="T53" s="1"/>
      <c r="U53" s="1"/>
      <c r="V53" s="1"/>
      <c r="W53" s="1"/>
      <c r="X53" s="1"/>
      <c r="Y53" s="1"/>
      <c r="Z53" s="1"/>
      <c r="AA53" s="1"/>
    </row>
    <row r="54" spans="1:27" ht="5.7" customHeight="1" x14ac:dyDescent="0.2"/>
    <row r="55" spans="1:27" ht="13.5" customHeight="1" x14ac:dyDescent="0.2">
      <c r="B55" s="51"/>
      <c r="C55" s="89" t="s">
        <v>410</v>
      </c>
      <c r="D55" s="65"/>
    </row>
    <row r="56" spans="1:27" ht="6" customHeight="1" x14ac:dyDescent="0.2">
      <c r="D56" s="65"/>
    </row>
    <row r="57" spans="1:27" ht="13.5" customHeight="1" x14ac:dyDescent="0.2">
      <c r="B57" s="51"/>
      <c r="C57" s="1" t="s">
        <v>400</v>
      </c>
      <c r="D57" s="65"/>
    </row>
    <row r="58" spans="1:27" ht="4.2" customHeight="1" x14ac:dyDescent="0.2">
      <c r="D58" s="65"/>
    </row>
    <row r="59" spans="1:27" ht="13.5" customHeight="1" x14ac:dyDescent="0.2">
      <c r="C59" s="51"/>
      <c r="D59" s="1" t="s">
        <v>401</v>
      </c>
    </row>
    <row r="60" spans="1:27" ht="12.75" customHeight="1" x14ac:dyDescent="0.2">
      <c r="C60" s="65"/>
      <c r="D60" s="65" t="str">
        <f>IF(B57="✔",(IF(C59="✔","","地域型グリーン化事業に県産材の材料代を含めている場合、住まいる支援事業は利用できません")),"")</f>
        <v/>
      </c>
    </row>
    <row r="61" spans="1:27" x14ac:dyDescent="0.2">
      <c r="B61" s="51"/>
      <c r="C61" s="89" t="s">
        <v>497</v>
      </c>
      <c r="D61" s="272"/>
      <c r="E61" s="273"/>
      <c r="F61" s="273"/>
      <c r="G61" s="273"/>
      <c r="H61" s="273"/>
      <c r="I61" s="19"/>
      <c r="J61" s="19"/>
      <c r="K61" s="19"/>
      <c r="L61" s="19"/>
      <c r="M61" s="19"/>
      <c r="N61" s="19"/>
      <c r="O61" s="19"/>
      <c r="P61" s="19"/>
      <c r="Q61" s="19"/>
      <c r="R61" s="19"/>
      <c r="S61" s="19"/>
      <c r="T61" s="19"/>
      <c r="U61" s="19"/>
      <c r="V61" s="19"/>
      <c r="W61" s="19"/>
      <c r="X61" s="19"/>
      <c r="Y61" s="17"/>
    </row>
    <row r="62" spans="1:27" ht="14.25" customHeight="1" x14ac:dyDescent="0.2">
      <c r="C62" s="17" t="str">
        <f>IF(B61="","","　併用する補助金の名称を以下に記載してください。")</f>
        <v/>
      </c>
      <c r="D62" s="273"/>
      <c r="E62" s="273"/>
      <c r="F62" s="273"/>
      <c r="G62" s="273"/>
      <c r="H62" s="273"/>
      <c r="I62" s="19"/>
      <c r="J62" s="19"/>
      <c r="K62" s="19"/>
      <c r="L62" s="19"/>
      <c r="M62" s="19"/>
      <c r="N62" s="19"/>
      <c r="O62" s="19"/>
      <c r="P62" s="19"/>
      <c r="Q62" s="19"/>
      <c r="R62" s="19"/>
      <c r="S62" s="19"/>
      <c r="T62" s="19"/>
      <c r="U62" s="19"/>
      <c r="V62" s="19"/>
      <c r="W62" s="19"/>
      <c r="X62" s="19"/>
      <c r="Y62" s="17"/>
    </row>
    <row r="63" spans="1:27" ht="13.5" customHeight="1" x14ac:dyDescent="0.2">
      <c r="D63" s="358" t="s">
        <v>398</v>
      </c>
      <c r="E63" s="359"/>
      <c r="F63" s="359"/>
      <c r="G63" s="359"/>
      <c r="H63" s="359"/>
      <c r="I63" s="359"/>
      <c r="J63" s="359"/>
      <c r="K63" s="359"/>
      <c r="L63" s="359"/>
      <c r="M63" s="359"/>
      <c r="N63" s="359"/>
      <c r="O63" s="360"/>
      <c r="P63" s="314" t="s">
        <v>5</v>
      </c>
      <c r="Q63" s="315"/>
      <c r="R63" s="315"/>
      <c r="S63" s="315"/>
      <c r="T63" s="316"/>
      <c r="U63" s="314" t="s">
        <v>19</v>
      </c>
      <c r="V63" s="315"/>
      <c r="W63" s="315"/>
      <c r="X63" s="315"/>
      <c r="Y63" s="315"/>
      <c r="Z63" s="316"/>
    </row>
    <row r="64" spans="1:27" x14ac:dyDescent="0.2">
      <c r="D64" s="308"/>
      <c r="E64" s="309"/>
      <c r="F64" s="309"/>
      <c r="G64" s="309"/>
      <c r="H64" s="309"/>
      <c r="I64" s="309"/>
      <c r="J64" s="309"/>
      <c r="K64" s="309"/>
      <c r="L64" s="309"/>
      <c r="M64" s="309"/>
      <c r="N64" s="309"/>
      <c r="O64" s="310"/>
      <c r="P64" s="311"/>
      <c r="Q64" s="312"/>
      <c r="R64" s="312"/>
      <c r="S64" s="312"/>
      <c r="T64" s="313"/>
      <c r="U64" s="311"/>
      <c r="V64" s="312"/>
      <c r="W64" s="312"/>
      <c r="X64" s="312"/>
      <c r="Y64" s="312"/>
      <c r="Z64" s="313"/>
    </row>
    <row r="65" spans="1:28" x14ac:dyDescent="0.2">
      <c r="D65" s="308"/>
      <c r="E65" s="309"/>
      <c r="F65" s="309"/>
      <c r="G65" s="309"/>
      <c r="H65" s="309"/>
      <c r="I65" s="309"/>
      <c r="J65" s="309"/>
      <c r="K65" s="309"/>
      <c r="L65" s="309"/>
      <c r="M65" s="309"/>
      <c r="N65" s="309"/>
      <c r="O65" s="310"/>
      <c r="P65" s="311"/>
      <c r="Q65" s="312"/>
      <c r="R65" s="312"/>
      <c r="S65" s="312"/>
      <c r="T65" s="313"/>
      <c r="U65" s="311"/>
      <c r="V65" s="312"/>
      <c r="W65" s="312"/>
      <c r="X65" s="312"/>
      <c r="Y65" s="312"/>
      <c r="Z65" s="313"/>
    </row>
    <row r="66" spans="1:28" x14ac:dyDescent="0.2">
      <c r="D66" s="308"/>
      <c r="E66" s="309"/>
      <c r="F66" s="309"/>
      <c r="G66" s="309"/>
      <c r="H66" s="309"/>
      <c r="I66" s="309"/>
      <c r="J66" s="309"/>
      <c r="K66" s="309"/>
      <c r="L66" s="309"/>
      <c r="M66" s="309"/>
      <c r="N66" s="309"/>
      <c r="O66" s="310"/>
      <c r="P66" s="311"/>
      <c r="Q66" s="312"/>
      <c r="R66" s="312"/>
      <c r="S66" s="312"/>
      <c r="T66" s="313"/>
      <c r="U66" s="311"/>
      <c r="V66" s="312"/>
      <c r="W66" s="312"/>
      <c r="X66" s="312"/>
      <c r="Y66" s="312"/>
      <c r="Z66" s="313"/>
    </row>
    <row r="67" spans="1:28" x14ac:dyDescent="0.2">
      <c r="D67" s="308"/>
      <c r="E67" s="309"/>
      <c r="F67" s="309"/>
      <c r="G67" s="309"/>
      <c r="H67" s="309"/>
      <c r="I67" s="309"/>
      <c r="J67" s="309"/>
      <c r="K67" s="309"/>
      <c r="L67" s="309"/>
      <c r="M67" s="309"/>
      <c r="N67" s="309"/>
      <c r="O67" s="310"/>
      <c r="P67" s="311"/>
      <c r="Q67" s="312"/>
      <c r="R67" s="312"/>
      <c r="S67" s="312"/>
      <c r="T67" s="313"/>
      <c r="U67" s="311"/>
      <c r="V67" s="312"/>
      <c r="W67" s="312"/>
      <c r="X67" s="312"/>
      <c r="Y67" s="312"/>
      <c r="Z67" s="313"/>
    </row>
    <row r="68" spans="1:28" x14ac:dyDescent="0.2">
      <c r="D68" s="308"/>
      <c r="E68" s="309"/>
      <c r="F68" s="309"/>
      <c r="G68" s="309"/>
      <c r="H68" s="309"/>
      <c r="I68" s="309"/>
      <c r="J68" s="309"/>
      <c r="K68" s="309"/>
      <c r="L68" s="309"/>
      <c r="M68" s="309"/>
      <c r="N68" s="309"/>
      <c r="O68" s="310"/>
      <c r="P68" s="311"/>
      <c r="Q68" s="312"/>
      <c r="R68" s="312"/>
      <c r="S68" s="312"/>
      <c r="T68" s="313"/>
      <c r="U68" s="311"/>
      <c r="V68" s="312"/>
      <c r="W68" s="312"/>
      <c r="X68" s="312"/>
      <c r="Y68" s="312"/>
      <c r="Z68" s="313"/>
    </row>
    <row r="69" spans="1:28" ht="6.75" customHeight="1" x14ac:dyDescent="0.2">
      <c r="D69" s="273"/>
      <c r="E69" s="273"/>
      <c r="F69" s="273"/>
      <c r="G69" s="273"/>
      <c r="H69" s="273"/>
      <c r="I69" s="306"/>
      <c r="J69" s="306"/>
      <c r="K69" s="306"/>
      <c r="L69" s="306"/>
      <c r="M69" s="306"/>
      <c r="N69" s="306"/>
      <c r="O69" s="306"/>
      <c r="P69" s="306"/>
      <c r="Q69" s="306"/>
      <c r="R69" s="306"/>
      <c r="S69" s="306"/>
      <c r="T69" s="306"/>
      <c r="U69" s="306"/>
      <c r="V69" s="306"/>
      <c r="W69" s="306"/>
      <c r="X69" s="306"/>
      <c r="Y69" s="17"/>
    </row>
    <row r="70" spans="1:28" x14ac:dyDescent="0.2">
      <c r="B70" s="51"/>
      <c r="C70" s="1" t="s">
        <v>207</v>
      </c>
    </row>
    <row r="71" spans="1:28" ht="7.5" customHeight="1" x14ac:dyDescent="0.2">
      <c r="E71" s="13"/>
      <c r="P71" s="18"/>
    </row>
    <row r="72" spans="1:28" x14ac:dyDescent="0.2">
      <c r="B72" s="51"/>
      <c r="C72" s="1" t="s">
        <v>205</v>
      </c>
      <c r="E72" s="13"/>
      <c r="P72" s="18"/>
    </row>
    <row r="73" spans="1:28" x14ac:dyDescent="0.2">
      <c r="B73" s="13"/>
      <c r="E73" s="40" t="str">
        <f>IF(B72="","",IF(OR(I44="有",T44="有"),"＜実績報告時の提出書類&gt;変更後の改修部分の図面に改修内容を記載したもの、配置図","＜実績報告時の提出書類＞変更後の改修部分の図面に改修内容を記載したもの"))</f>
        <v/>
      </c>
      <c r="P73" s="18"/>
    </row>
    <row r="74" spans="1:28" x14ac:dyDescent="0.2">
      <c r="A74" s="1" t="s">
        <v>30</v>
      </c>
    </row>
    <row r="75" spans="1:28" x14ac:dyDescent="0.2">
      <c r="B75" s="51"/>
      <c r="C75" s="318" t="s">
        <v>112</v>
      </c>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row>
    <row r="76" spans="1:28" x14ac:dyDescent="0.2">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row>
    <row r="78" spans="1:28" x14ac:dyDescent="0.2">
      <c r="B78" s="51"/>
      <c r="C78" s="1" t="s">
        <v>74</v>
      </c>
    </row>
    <row r="79" spans="1:28" x14ac:dyDescent="0.2">
      <c r="D79" s="314" t="s">
        <v>68</v>
      </c>
      <c r="E79" s="315"/>
      <c r="F79" s="315"/>
      <c r="G79" s="315"/>
      <c r="H79" s="316"/>
      <c r="I79" s="311"/>
      <c r="J79" s="312"/>
      <c r="K79" s="312"/>
      <c r="L79" s="312"/>
      <c r="M79" s="312"/>
      <c r="N79" s="312"/>
      <c r="O79" s="312"/>
      <c r="P79" s="312"/>
      <c r="Q79" s="312"/>
      <c r="R79" s="312"/>
      <c r="S79" s="312"/>
      <c r="T79" s="312"/>
      <c r="U79" s="312"/>
      <c r="V79" s="312"/>
      <c r="W79" s="312"/>
      <c r="X79" s="313"/>
      <c r="AB79" s="4" t="str">
        <f>IF(AND(B78="✔",I79=""),"←直接入力してください","")</f>
        <v/>
      </c>
    </row>
    <row r="80" spans="1:28" x14ac:dyDescent="0.2">
      <c r="D80" s="32" t="s">
        <v>143</v>
      </c>
      <c r="E80" s="42"/>
      <c r="F80" s="42"/>
      <c r="G80" s="42"/>
      <c r="H80" s="42"/>
      <c r="I80" s="42"/>
      <c r="J80" s="42"/>
      <c r="K80" s="42"/>
      <c r="L80" s="42"/>
      <c r="M80" s="42"/>
      <c r="N80" s="42"/>
      <c r="O80" s="42"/>
      <c r="P80" s="42"/>
      <c r="Q80" s="42"/>
      <c r="R80" s="42"/>
      <c r="S80" s="42"/>
      <c r="T80" s="42"/>
      <c r="U80" s="42"/>
      <c r="V80" s="42"/>
      <c r="W80" s="42"/>
      <c r="X80" s="42"/>
      <c r="Y80" s="42"/>
      <c r="AB80" s="4"/>
    </row>
    <row r="81" spans="1:39" x14ac:dyDescent="0.2">
      <c r="B81" s="34" t="s">
        <v>409</v>
      </c>
      <c r="F81" s="43"/>
    </row>
    <row r="82" spans="1:39" x14ac:dyDescent="0.2">
      <c r="B82" s="51"/>
      <c r="C82" s="1" t="s">
        <v>75</v>
      </c>
    </row>
    <row r="83" spans="1:39" ht="21.6" customHeight="1" x14ac:dyDescent="0.2">
      <c r="B83" s="349" t="str">
        <f>IF(AND(B78="✔",B82="✔"),"「プレカットを行う場合は、県内のプレカット工場で加工すること。」と「プレカットを一切使用しない。」のどちらかを✔してください。","")</f>
        <v/>
      </c>
      <c r="C83" s="349"/>
      <c r="D83" s="349"/>
      <c r="E83" s="349"/>
      <c r="F83" s="349"/>
      <c r="G83" s="349"/>
      <c r="H83" s="349"/>
      <c r="I83" s="349"/>
      <c r="J83" s="349"/>
      <c r="K83" s="349"/>
      <c r="L83" s="349"/>
      <c r="M83" s="349"/>
      <c r="N83" s="349"/>
      <c r="O83" s="349"/>
      <c r="P83" s="349"/>
      <c r="Q83" s="349"/>
      <c r="R83" s="349"/>
      <c r="S83" s="349"/>
      <c r="T83" s="349"/>
      <c r="U83" s="349"/>
      <c r="V83" s="349"/>
      <c r="W83" s="349"/>
      <c r="X83" s="349"/>
      <c r="Y83" s="349"/>
      <c r="Z83" s="349"/>
      <c r="AA83" s="349"/>
    </row>
    <row r="84" spans="1:39" x14ac:dyDescent="0.2">
      <c r="AA84" s="5" t="s">
        <v>61</v>
      </c>
    </row>
    <row r="85" spans="1:39" x14ac:dyDescent="0.2">
      <c r="T85" s="19"/>
    </row>
    <row r="86" spans="1:39" ht="18" customHeight="1" x14ac:dyDescent="0.2">
      <c r="D86" s="314" t="s">
        <v>44</v>
      </c>
      <c r="E86" s="315"/>
      <c r="F86" s="315"/>
      <c r="G86" s="315"/>
      <c r="H86" s="315"/>
      <c r="I86" s="315"/>
      <c r="J86" s="315"/>
      <c r="K86" s="315"/>
      <c r="L86" s="315"/>
      <c r="M86" s="315"/>
      <c r="N86" s="315"/>
      <c r="O86" s="315"/>
      <c r="P86" s="316"/>
      <c r="Q86" s="314" t="s">
        <v>43</v>
      </c>
      <c r="R86" s="315"/>
      <c r="S86" s="315"/>
      <c r="T86" s="316"/>
      <c r="U86" s="338" t="str">
        <f>IF(I31="併用住宅","併用住宅の場合、住宅部分の使用量","")</f>
        <v/>
      </c>
      <c r="V86" s="338"/>
      <c r="W86" s="338"/>
      <c r="X86" s="338"/>
      <c r="Y86" s="339" t="s">
        <v>70</v>
      </c>
      <c r="Z86" s="339"/>
      <c r="AA86" s="339"/>
    </row>
    <row r="87" spans="1:39" ht="18" customHeight="1" x14ac:dyDescent="0.2">
      <c r="D87" s="385" t="s">
        <v>71</v>
      </c>
      <c r="E87" s="386"/>
      <c r="F87" s="386"/>
      <c r="G87" s="386"/>
      <c r="H87" s="386"/>
      <c r="I87" s="386"/>
      <c r="J87" s="386"/>
      <c r="K87" s="386"/>
      <c r="L87" s="386"/>
      <c r="M87" s="386"/>
      <c r="N87" s="386"/>
      <c r="O87" s="386"/>
      <c r="P87" s="428"/>
      <c r="Q87" s="381"/>
      <c r="R87" s="382"/>
      <c r="S87" s="382"/>
      <c r="T87" s="383"/>
      <c r="U87" s="338"/>
      <c r="V87" s="338"/>
      <c r="W87" s="338"/>
      <c r="X87" s="338"/>
      <c r="Y87" s="340"/>
      <c r="Z87" s="340"/>
      <c r="AA87" s="340"/>
      <c r="AE87" s="1"/>
      <c r="AF87" s="1"/>
      <c r="AG87" s="1"/>
      <c r="AH87" s="20"/>
      <c r="AI87" s="21"/>
      <c r="AJ87" s="21"/>
      <c r="AK87" s="21"/>
      <c r="AL87" s="21"/>
      <c r="AM87" s="21"/>
    </row>
    <row r="88" spans="1:39" ht="18" customHeight="1" x14ac:dyDescent="0.2">
      <c r="D88" s="22"/>
      <c r="E88" s="387" t="s">
        <v>115</v>
      </c>
      <c r="F88" s="388"/>
      <c r="G88" s="388"/>
      <c r="H88" s="388"/>
      <c r="I88" s="388"/>
      <c r="J88" s="388"/>
      <c r="K88" s="388"/>
      <c r="L88" s="388"/>
      <c r="M88" s="388"/>
      <c r="N88" s="388"/>
      <c r="O88" s="388"/>
      <c r="P88" s="389"/>
      <c r="Q88" s="381"/>
      <c r="R88" s="382"/>
      <c r="S88" s="382"/>
      <c r="T88" s="383"/>
      <c r="U88" s="361"/>
      <c r="V88" s="361"/>
      <c r="W88" s="361"/>
      <c r="X88" s="361"/>
      <c r="Y88" s="341" t="str">
        <f>IF(OR(Q88="",Q87=""),"",ROUNDDOWN(Q88,1)*2)</f>
        <v/>
      </c>
      <c r="Z88" s="342"/>
      <c r="AA88" s="23" t="s">
        <v>50</v>
      </c>
      <c r="AE88" s="1"/>
      <c r="AF88" s="1"/>
      <c r="AG88" s="1"/>
      <c r="AH88" s="20"/>
      <c r="AI88" s="21"/>
      <c r="AJ88" s="21"/>
      <c r="AK88" s="21"/>
      <c r="AL88" s="21"/>
      <c r="AM88" s="21"/>
    </row>
    <row r="89" spans="1:39" ht="18" customHeight="1" x14ac:dyDescent="0.2">
      <c r="D89" s="8"/>
      <c r="E89" s="351" t="s">
        <v>116</v>
      </c>
      <c r="F89" s="352"/>
      <c r="G89" s="352"/>
      <c r="H89" s="352"/>
      <c r="I89" s="352"/>
      <c r="J89" s="352"/>
      <c r="K89" s="352"/>
      <c r="L89" s="352"/>
      <c r="M89" s="352"/>
      <c r="N89" s="352"/>
      <c r="O89" s="352"/>
      <c r="P89" s="353"/>
      <c r="Q89" s="364"/>
      <c r="R89" s="365"/>
      <c r="S89" s="365"/>
      <c r="T89" s="366"/>
      <c r="U89" s="363"/>
      <c r="V89" s="363"/>
      <c r="W89" s="363"/>
      <c r="X89" s="363"/>
      <c r="Y89" s="341" t="str">
        <f>IF(Q89="","",INT(Q89)*0.2)</f>
        <v/>
      </c>
      <c r="Z89" s="342"/>
      <c r="AA89" s="23" t="s">
        <v>50</v>
      </c>
      <c r="AE89" s="1"/>
      <c r="AF89" s="1"/>
      <c r="AG89" s="1"/>
      <c r="AH89" s="20"/>
      <c r="AI89" s="21"/>
      <c r="AJ89" s="21"/>
      <c r="AK89" s="21"/>
      <c r="AL89" s="21"/>
      <c r="AM89" s="21"/>
    </row>
    <row r="90" spans="1:39" ht="18" customHeight="1" x14ac:dyDescent="0.2">
      <c r="E90" s="13"/>
      <c r="X90" s="24" t="s">
        <v>60</v>
      </c>
      <c r="Y90" s="341" t="str">
        <f>IF(OR(SUM(Y88:Z89)=0,Q87=""),"",IF(AND(B20="✔",B24="✔",B39="✔",B44="✔",B49="✔",B70="✔",B75="✔",OR(B78="✔",B82="✔"),B83=""),MIN(25,SUM(Y88:Z89)),0))</f>
        <v/>
      </c>
      <c r="Z90" s="342"/>
      <c r="AA90" s="23" t="s">
        <v>0</v>
      </c>
      <c r="AB90" s="4" t="str">
        <f>IF(AND(Y90=0),"←合計金額が算出されない場合は、前のページにチェック漏れ等がありますので御確認ください。","")</f>
        <v/>
      </c>
    </row>
    <row r="91" spans="1:39" x14ac:dyDescent="0.2">
      <c r="A91" s="14" t="s">
        <v>407</v>
      </c>
    </row>
    <row r="92" spans="1:39" x14ac:dyDescent="0.2">
      <c r="A92" s="13"/>
      <c r="B92" s="33" t="s">
        <v>405</v>
      </c>
    </row>
    <row r="93" spans="1:39" x14ac:dyDescent="0.2">
      <c r="A93" s="14" t="s">
        <v>408</v>
      </c>
    </row>
    <row r="94" spans="1:39" x14ac:dyDescent="0.2">
      <c r="A94" s="13"/>
      <c r="B94" s="33" t="s">
        <v>405</v>
      </c>
    </row>
    <row r="95" spans="1:39" x14ac:dyDescent="0.2">
      <c r="A95" s="13"/>
      <c r="B95" s="33"/>
      <c r="C95" s="40" t="s">
        <v>113</v>
      </c>
    </row>
    <row r="96" spans="1:39" s="3" customFormat="1" x14ac:dyDescent="0.2">
      <c r="A96" s="1"/>
      <c r="B96" s="1"/>
      <c r="C96" s="354" t="s">
        <v>487</v>
      </c>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row>
    <row r="97" spans="1:55" s="3" customFormat="1" x14ac:dyDescent="0.2">
      <c r="A97" s="1"/>
      <c r="B97" s="1"/>
      <c r="C97" s="354"/>
      <c r="D97" s="354"/>
      <c r="E97" s="354"/>
      <c r="F97" s="354"/>
      <c r="G97" s="354"/>
      <c r="H97" s="354"/>
      <c r="I97" s="354"/>
      <c r="J97" s="354"/>
      <c r="K97" s="354"/>
      <c r="L97" s="354"/>
      <c r="M97" s="354"/>
      <c r="N97" s="354"/>
      <c r="O97" s="354"/>
      <c r="P97" s="354"/>
      <c r="Q97" s="354"/>
      <c r="R97" s="354"/>
      <c r="S97" s="354"/>
      <c r="T97" s="354"/>
      <c r="U97" s="354"/>
      <c r="V97" s="354"/>
      <c r="W97" s="354"/>
      <c r="X97" s="354"/>
      <c r="Y97" s="354"/>
      <c r="Z97" s="354"/>
      <c r="AA97" s="354"/>
    </row>
    <row r="98" spans="1:55" x14ac:dyDescent="0.2">
      <c r="A98" s="13" t="s">
        <v>114</v>
      </c>
    </row>
    <row r="99" spans="1:55" x14ac:dyDescent="0.2">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row>
    <row r="100" spans="1:55" x14ac:dyDescent="0.2">
      <c r="A100" s="1" t="s">
        <v>51</v>
      </c>
      <c r="Y100" s="339" t="s">
        <v>70</v>
      </c>
      <c r="Z100" s="339"/>
      <c r="AA100" s="339"/>
    </row>
    <row r="101" spans="1:55" ht="14.25" customHeight="1" x14ac:dyDescent="0.2">
      <c r="B101" s="1" t="s">
        <v>49</v>
      </c>
      <c r="Y101" s="340"/>
      <c r="Z101" s="340"/>
      <c r="AA101" s="340"/>
    </row>
    <row r="102" spans="1:55" x14ac:dyDescent="0.2">
      <c r="B102" s="89" t="s">
        <v>486</v>
      </c>
      <c r="Y102" s="377" t="str">
        <f>IF(AND(Y90&lt;&gt;"",Y90&gt;=0.2,OR(B104="✔",P104="✔")),IF(B55="✔",0,10),"")</f>
        <v/>
      </c>
      <c r="Z102" s="378"/>
      <c r="AA102" s="23" t="s">
        <v>0</v>
      </c>
      <c r="AD102" s="3" t="s">
        <v>64</v>
      </c>
    </row>
    <row r="103" spans="1:55" ht="7.2" customHeight="1" x14ac:dyDescent="0.2"/>
    <row r="104" spans="1:55" x14ac:dyDescent="0.2">
      <c r="B104" s="51"/>
      <c r="C104" s="1" t="s">
        <v>46</v>
      </c>
      <c r="P104" s="51"/>
      <c r="Q104" s="1" t="s">
        <v>48</v>
      </c>
    </row>
    <row r="105" spans="1:55" ht="13.5" customHeight="1" x14ac:dyDescent="0.2">
      <c r="C105" s="1" t="s">
        <v>47</v>
      </c>
      <c r="Q105" s="399" t="s">
        <v>130</v>
      </c>
      <c r="R105" s="399"/>
      <c r="S105" s="399"/>
      <c r="T105" s="399"/>
      <c r="U105" s="399"/>
      <c r="V105" s="399"/>
      <c r="W105" s="399"/>
      <c r="X105" s="399"/>
      <c r="Y105" s="399"/>
      <c r="Z105" s="399"/>
      <c r="AA105" s="399"/>
    </row>
    <row r="106" spans="1:55" x14ac:dyDescent="0.2">
      <c r="Q106" s="399"/>
      <c r="R106" s="399"/>
      <c r="S106" s="399"/>
      <c r="T106" s="399"/>
      <c r="U106" s="399"/>
      <c r="V106" s="399"/>
      <c r="W106" s="399"/>
      <c r="X106" s="399"/>
      <c r="Y106" s="399"/>
      <c r="Z106" s="399"/>
      <c r="AA106" s="399"/>
    </row>
    <row r="107" spans="1:55" x14ac:dyDescent="0.2">
      <c r="C107" s="13" t="s">
        <v>41</v>
      </c>
      <c r="Q107" s="13" t="s">
        <v>41</v>
      </c>
    </row>
    <row r="108" spans="1:55" ht="13.5" customHeight="1" x14ac:dyDescent="0.2">
      <c r="C108" s="344" t="s">
        <v>45</v>
      </c>
      <c r="D108" s="325"/>
      <c r="E108" s="325"/>
      <c r="F108" s="325"/>
      <c r="G108" s="325"/>
      <c r="H108" s="325"/>
      <c r="I108" s="325"/>
      <c r="J108" s="325"/>
      <c r="K108" s="325"/>
      <c r="L108" s="325"/>
      <c r="M108" s="325"/>
      <c r="N108" s="325"/>
      <c r="Q108" s="344" t="s">
        <v>42</v>
      </c>
      <c r="R108" s="344"/>
      <c r="S108" s="344"/>
      <c r="T108" s="344"/>
      <c r="U108" s="344"/>
      <c r="V108" s="344"/>
      <c r="W108" s="344"/>
      <c r="X108" s="344"/>
      <c r="Y108" s="344"/>
      <c r="Z108" s="344"/>
      <c r="AA108" s="344"/>
    </row>
    <row r="109" spans="1:55" x14ac:dyDescent="0.2">
      <c r="C109" s="325"/>
      <c r="D109" s="325"/>
      <c r="E109" s="325"/>
      <c r="F109" s="325"/>
      <c r="G109" s="325"/>
      <c r="H109" s="325"/>
      <c r="I109" s="325"/>
      <c r="J109" s="325"/>
      <c r="K109" s="325"/>
      <c r="L109" s="325"/>
      <c r="M109" s="325"/>
      <c r="N109" s="325"/>
      <c r="Q109" s="344"/>
      <c r="R109" s="344"/>
      <c r="S109" s="344"/>
      <c r="T109" s="344"/>
      <c r="U109" s="344"/>
      <c r="V109" s="344"/>
      <c r="W109" s="344"/>
      <c r="X109" s="344"/>
      <c r="Y109" s="344"/>
      <c r="Z109" s="344"/>
      <c r="AA109" s="344"/>
    </row>
    <row r="110" spans="1:55" x14ac:dyDescent="0.2">
      <c r="C110" s="35" t="s">
        <v>76</v>
      </c>
      <c r="D110" s="36"/>
      <c r="E110" s="36"/>
      <c r="F110" s="36"/>
      <c r="G110" s="36"/>
      <c r="H110" s="36"/>
      <c r="I110" s="36"/>
      <c r="J110" s="36"/>
      <c r="K110" s="36"/>
      <c r="L110" s="36"/>
      <c r="M110" s="36"/>
      <c r="N110" s="36"/>
      <c r="Q110" s="35" t="s">
        <v>76</v>
      </c>
      <c r="R110" s="36"/>
      <c r="S110" s="36"/>
      <c r="T110" s="36"/>
      <c r="U110" s="36"/>
      <c r="V110" s="36"/>
      <c r="W110" s="36"/>
      <c r="X110" s="36"/>
      <c r="Y110" s="36"/>
      <c r="Z110" s="36"/>
      <c r="AA110" s="36"/>
    </row>
    <row r="111" spans="1:55" ht="13.5" customHeight="1" x14ac:dyDescent="0.2">
      <c r="C111" s="376" t="s">
        <v>197</v>
      </c>
      <c r="D111" s="376"/>
      <c r="E111" s="376"/>
      <c r="F111" s="376"/>
      <c r="G111" s="376"/>
      <c r="H111" s="376"/>
      <c r="I111" s="376"/>
      <c r="J111" s="376"/>
      <c r="K111" s="376"/>
      <c r="L111" s="376"/>
      <c r="M111" s="376"/>
      <c r="N111" s="376"/>
      <c r="Q111" s="376" t="s">
        <v>198</v>
      </c>
      <c r="R111" s="376"/>
      <c r="S111" s="376"/>
      <c r="T111" s="376"/>
      <c r="U111" s="376"/>
      <c r="V111" s="376"/>
      <c r="W111" s="376"/>
      <c r="X111" s="376"/>
      <c r="Y111" s="376"/>
      <c r="Z111" s="376"/>
      <c r="AA111" s="376"/>
    </row>
    <row r="112" spans="1:55" x14ac:dyDescent="0.2">
      <c r="C112" s="376"/>
      <c r="D112" s="376"/>
      <c r="E112" s="376"/>
      <c r="F112" s="376"/>
      <c r="G112" s="376"/>
      <c r="H112" s="376"/>
      <c r="I112" s="376"/>
      <c r="J112" s="376"/>
      <c r="K112" s="376"/>
      <c r="L112" s="376"/>
      <c r="M112" s="376"/>
      <c r="N112" s="376"/>
      <c r="Q112" s="376"/>
      <c r="R112" s="376"/>
      <c r="S112" s="376"/>
      <c r="T112" s="376"/>
      <c r="U112" s="376"/>
      <c r="V112" s="376"/>
      <c r="W112" s="376"/>
      <c r="X112" s="376"/>
      <c r="Y112" s="376"/>
      <c r="Z112" s="376"/>
      <c r="AA112" s="376"/>
    </row>
    <row r="113" spans="1:30" ht="13.5" customHeight="1" x14ac:dyDescent="0.2">
      <c r="D113" s="26"/>
      <c r="E113" s="26"/>
      <c r="F113" s="26"/>
      <c r="G113" s="26"/>
      <c r="H113" s="26"/>
      <c r="I113" s="26"/>
      <c r="J113" s="26"/>
      <c r="K113" s="26"/>
      <c r="L113" s="26"/>
      <c r="M113" s="26"/>
      <c r="N113" s="26"/>
      <c r="Q113" s="41" t="s">
        <v>199</v>
      </c>
      <c r="R113" s="27"/>
      <c r="S113" s="27"/>
      <c r="T113" s="27"/>
      <c r="U113" s="27"/>
      <c r="V113" s="27"/>
      <c r="W113" s="27"/>
      <c r="X113" s="27"/>
      <c r="Y113" s="27"/>
      <c r="Z113" s="27"/>
      <c r="AA113" s="27"/>
    </row>
    <row r="114" spans="1:30" ht="7.2" customHeight="1" x14ac:dyDescent="0.2"/>
    <row r="115" spans="1:30" x14ac:dyDescent="0.2">
      <c r="C115" s="380" t="s">
        <v>65</v>
      </c>
      <c r="D115" s="380"/>
      <c r="E115" s="380"/>
      <c r="F115" s="380"/>
      <c r="G115" s="380"/>
      <c r="H115" s="380"/>
      <c r="I115" s="380"/>
      <c r="J115" s="380"/>
      <c r="K115" s="380"/>
      <c r="L115" s="380"/>
      <c r="M115" s="380"/>
      <c r="N115" s="380"/>
      <c r="O115" s="380"/>
      <c r="P115" s="380"/>
      <c r="Q115" s="380"/>
      <c r="R115" s="380"/>
      <c r="S115" s="380"/>
      <c r="T115" s="380"/>
      <c r="U115" s="380"/>
      <c r="V115" s="380"/>
      <c r="W115" s="380"/>
      <c r="X115" s="380"/>
      <c r="Y115" s="380"/>
      <c r="Z115" s="380"/>
      <c r="AA115" s="27"/>
    </row>
    <row r="116" spans="1:30" x14ac:dyDescent="0.2">
      <c r="C116" s="380"/>
      <c r="D116" s="380"/>
      <c r="E116" s="380"/>
      <c r="F116" s="380"/>
      <c r="G116" s="380"/>
      <c r="H116" s="380"/>
      <c r="I116" s="380"/>
      <c r="J116" s="380"/>
      <c r="K116" s="380"/>
      <c r="L116" s="380"/>
      <c r="M116" s="380"/>
      <c r="N116" s="380"/>
      <c r="O116" s="380"/>
      <c r="P116" s="380"/>
      <c r="Q116" s="380"/>
      <c r="R116" s="380"/>
      <c r="S116" s="380"/>
      <c r="T116" s="380"/>
      <c r="U116" s="380"/>
      <c r="V116" s="380"/>
      <c r="W116" s="380"/>
      <c r="X116" s="380"/>
      <c r="Y116" s="380"/>
      <c r="Z116" s="380"/>
      <c r="AA116" s="27"/>
    </row>
    <row r="117" spans="1:30" ht="13.5" customHeight="1" x14ac:dyDescent="0.2">
      <c r="Y117" s="28"/>
      <c r="Z117" s="28"/>
      <c r="AA117" s="28"/>
    </row>
    <row r="118" spans="1:30" x14ac:dyDescent="0.2">
      <c r="A118" s="1" t="s">
        <v>52</v>
      </c>
      <c r="Y118" s="379" t="s">
        <v>70</v>
      </c>
      <c r="Z118" s="379"/>
      <c r="AA118" s="379"/>
    </row>
    <row r="119" spans="1:30" ht="13.5" customHeight="1" x14ac:dyDescent="0.2">
      <c r="B119" s="89" t="s">
        <v>498</v>
      </c>
      <c r="Y119" s="340"/>
      <c r="Z119" s="340"/>
      <c r="AA119" s="340"/>
    </row>
    <row r="120" spans="1:30" x14ac:dyDescent="0.2">
      <c r="B120" s="307" t="s">
        <v>499</v>
      </c>
      <c r="Y120" s="377" t="str">
        <f>IF(AND(Y89&gt;=0.2,B125="✔",B127="✔",B130="✔",B133="✔"),10,IF(AND(Y89&gt;=0.2,B125="✔",B127="✔",B135="✔"),10,IF(AND(B127="✔",B137="✔",B125=""),10,"")))</f>
        <v/>
      </c>
      <c r="Z120" s="378"/>
      <c r="AA120" s="23" t="s">
        <v>0</v>
      </c>
    </row>
    <row r="121" spans="1:30" x14ac:dyDescent="0.2">
      <c r="B121" s="307" t="s">
        <v>500</v>
      </c>
      <c r="Y121" s="42"/>
      <c r="Z121" s="42"/>
      <c r="AA121" s="54"/>
    </row>
    <row r="122" spans="1:30" x14ac:dyDescent="0.2">
      <c r="B122" s="307" t="s">
        <v>501</v>
      </c>
      <c r="Y122" s="42"/>
      <c r="Z122" s="42"/>
      <c r="AA122" s="54"/>
    </row>
    <row r="123" spans="1:30" ht="9" customHeight="1" x14ac:dyDescent="0.2">
      <c r="Y123" s="42"/>
      <c r="Z123" s="42"/>
      <c r="AA123" s="54"/>
    </row>
    <row r="124" spans="1:30" ht="7.2" customHeight="1" x14ac:dyDescent="0.2"/>
    <row r="125" spans="1:30" x14ac:dyDescent="0.2">
      <c r="B125" s="51"/>
      <c r="C125" s="89" t="s">
        <v>502</v>
      </c>
      <c r="AD125" s="3" t="s">
        <v>64</v>
      </c>
    </row>
    <row r="126" spans="1:30" ht="7.2" customHeight="1" x14ac:dyDescent="0.2"/>
    <row r="127" spans="1:30" x14ac:dyDescent="0.2">
      <c r="B127" s="51"/>
      <c r="C127" s="89" t="s">
        <v>503</v>
      </c>
    </row>
    <row r="128" spans="1:30" x14ac:dyDescent="0.2">
      <c r="C128" s="13" t="s">
        <v>151</v>
      </c>
    </row>
    <row r="129" spans="1:28" ht="7.2" customHeight="1" x14ac:dyDescent="0.2"/>
    <row r="130" spans="1:28" x14ac:dyDescent="0.2">
      <c r="B130" s="51"/>
      <c r="C130" s="89" t="s">
        <v>504</v>
      </c>
    </row>
    <row r="131" spans="1:28" x14ac:dyDescent="0.2">
      <c r="C131" s="13" t="s">
        <v>102</v>
      </c>
    </row>
    <row r="132" spans="1:28" ht="7.2" customHeight="1" x14ac:dyDescent="0.2"/>
    <row r="133" spans="1:28" x14ac:dyDescent="0.2">
      <c r="B133" s="51"/>
      <c r="C133" s="1" t="s">
        <v>117</v>
      </c>
    </row>
    <row r="134" spans="1:28" ht="7.2" customHeight="1" x14ac:dyDescent="0.2"/>
    <row r="135" spans="1:28" x14ac:dyDescent="0.2">
      <c r="B135" s="51"/>
      <c r="C135" s="1" t="s">
        <v>118</v>
      </c>
    </row>
    <row r="136" spans="1:28" ht="7.5" customHeight="1" x14ac:dyDescent="0.2"/>
    <row r="137" spans="1:28" x14ac:dyDescent="0.2">
      <c r="B137" s="51"/>
      <c r="C137" s="1" t="s">
        <v>119</v>
      </c>
    </row>
    <row r="138" spans="1:28" ht="7.2" customHeight="1" x14ac:dyDescent="0.2"/>
    <row r="139" spans="1:28" ht="15" customHeight="1" x14ac:dyDescent="0.2">
      <c r="B139" s="414" t="s">
        <v>7</v>
      </c>
      <c r="C139" s="414"/>
      <c r="D139" s="414"/>
      <c r="E139" s="414"/>
      <c r="F139" s="414"/>
      <c r="G139" s="414"/>
      <c r="H139" s="326" t="s">
        <v>137</v>
      </c>
      <c r="I139" s="326"/>
      <c r="J139" s="326"/>
      <c r="K139" s="326"/>
      <c r="L139" s="326"/>
      <c r="M139" s="326"/>
      <c r="N139" s="326"/>
      <c r="O139" s="405"/>
      <c r="P139" s="405"/>
      <c r="Q139" s="405"/>
      <c r="R139" s="405"/>
      <c r="S139" s="405"/>
      <c r="T139" s="405"/>
      <c r="U139" s="405"/>
      <c r="V139" s="405"/>
      <c r="W139" s="405"/>
      <c r="X139" s="405"/>
      <c r="Y139" s="405"/>
      <c r="Z139" s="405"/>
      <c r="AB139" s="4" t="str">
        <f>IF(AND(O139="",Y120=10),"→申請者の申請時住所の小学校区を記載してください。","")</f>
        <v/>
      </c>
    </row>
    <row r="140" spans="1:28" ht="15" customHeight="1" x14ac:dyDescent="0.2">
      <c r="B140" s="414"/>
      <c r="C140" s="414"/>
      <c r="D140" s="414"/>
      <c r="E140" s="414"/>
      <c r="F140" s="414"/>
      <c r="G140" s="414"/>
      <c r="H140" s="326" t="s">
        <v>138</v>
      </c>
      <c r="I140" s="326"/>
      <c r="J140" s="326"/>
      <c r="K140" s="326"/>
      <c r="L140" s="326"/>
      <c r="M140" s="326"/>
      <c r="N140" s="326"/>
      <c r="O140" s="405"/>
      <c r="P140" s="405"/>
      <c r="Q140" s="405"/>
      <c r="R140" s="405"/>
      <c r="S140" s="405"/>
      <c r="T140" s="405"/>
      <c r="U140" s="405"/>
      <c r="V140" s="405"/>
      <c r="W140" s="405"/>
      <c r="X140" s="405"/>
      <c r="Y140" s="405"/>
      <c r="Z140" s="405"/>
      <c r="AB140" s="4" t="str">
        <f>IF(AND(O140="",Y120=10),"→申請者の住宅建設地の小学校区を記載してください。","")</f>
        <v/>
      </c>
    </row>
    <row r="141" spans="1:28" ht="15" customHeight="1" x14ac:dyDescent="0.2">
      <c r="A141" s="60"/>
      <c r="B141" s="415" t="s">
        <v>139</v>
      </c>
      <c r="C141" s="415"/>
      <c r="D141" s="415"/>
      <c r="E141" s="415"/>
      <c r="F141" s="415"/>
      <c r="G141" s="415"/>
      <c r="H141" s="326" t="s">
        <v>12</v>
      </c>
      <c r="I141" s="326"/>
      <c r="J141" s="326"/>
      <c r="K141" s="326"/>
      <c r="L141" s="326"/>
      <c r="M141" s="326"/>
      <c r="N141" s="326"/>
      <c r="O141" s="405"/>
      <c r="P141" s="405"/>
      <c r="Q141" s="405"/>
      <c r="R141" s="405"/>
      <c r="S141" s="405"/>
      <c r="T141" s="405"/>
      <c r="U141" s="405"/>
      <c r="V141" s="405"/>
      <c r="W141" s="405"/>
      <c r="X141" s="405"/>
      <c r="Y141" s="405"/>
      <c r="Z141" s="405"/>
      <c r="AB141" s="4" t="str">
        <f>IF(AND(O141="",Y120=10),"→同居、近居対象の親族世帯の住所を記載してください。","")</f>
        <v/>
      </c>
    </row>
    <row r="142" spans="1:28" ht="15" customHeight="1" x14ac:dyDescent="0.2">
      <c r="A142" s="60"/>
      <c r="B142" s="416"/>
      <c r="C142" s="416"/>
      <c r="D142" s="416"/>
      <c r="E142" s="416"/>
      <c r="F142" s="416"/>
      <c r="G142" s="416"/>
      <c r="H142" s="326" t="s">
        <v>140</v>
      </c>
      <c r="I142" s="326"/>
      <c r="J142" s="326"/>
      <c r="K142" s="326"/>
      <c r="L142" s="326"/>
      <c r="M142" s="326"/>
      <c r="N142" s="326"/>
      <c r="O142" s="405"/>
      <c r="P142" s="405"/>
      <c r="Q142" s="405"/>
      <c r="R142" s="405"/>
      <c r="S142" s="405"/>
      <c r="T142" s="405"/>
      <c r="U142" s="405"/>
      <c r="V142" s="405"/>
      <c r="W142" s="405"/>
      <c r="X142" s="405"/>
      <c r="Y142" s="405"/>
      <c r="Z142" s="405"/>
      <c r="AB142" s="4" t="str">
        <f>IF(AND(O142="",Y120=10),"→同居、近居対象の親族世帯の小学校区を記載してください。","")</f>
        <v/>
      </c>
    </row>
    <row r="143" spans="1:28" ht="15" customHeight="1" x14ac:dyDescent="0.2">
      <c r="A143" s="60"/>
      <c r="B143" s="417"/>
      <c r="C143" s="417"/>
      <c r="D143" s="417"/>
      <c r="E143" s="417"/>
      <c r="F143" s="417"/>
      <c r="G143" s="417"/>
      <c r="H143" s="314" t="s">
        <v>206</v>
      </c>
      <c r="I143" s="315"/>
      <c r="J143" s="315"/>
      <c r="K143" s="315"/>
      <c r="L143" s="315"/>
      <c r="M143" s="315"/>
      <c r="N143" s="316"/>
      <c r="O143" s="405"/>
      <c r="P143" s="405"/>
      <c r="Q143" s="405"/>
      <c r="R143" s="405"/>
      <c r="S143" s="405"/>
      <c r="T143" s="405"/>
      <c r="U143" s="405"/>
      <c r="V143" s="405"/>
      <c r="W143" s="405"/>
      <c r="X143" s="405"/>
      <c r="Y143" s="405"/>
      <c r="Z143" s="405"/>
      <c r="AA143" s="22"/>
      <c r="AB143" s="4" t="str">
        <f>IF(AND(O143="",Y120=10),"→選択してください。","")</f>
        <v/>
      </c>
    </row>
    <row r="144" spans="1:28" ht="12.75" customHeight="1" x14ac:dyDescent="0.2">
      <c r="C144" s="33" t="s">
        <v>76</v>
      </c>
    </row>
    <row r="145" spans="1:30" ht="12" customHeight="1" x14ac:dyDescent="0.2">
      <c r="C145" s="37" t="s">
        <v>200</v>
      </c>
    </row>
    <row r="146" spans="1:30" x14ac:dyDescent="0.2">
      <c r="C146" s="37" t="s">
        <v>201</v>
      </c>
      <c r="D146" s="25"/>
      <c r="E146" s="25"/>
      <c r="F146" s="25"/>
      <c r="G146" s="25"/>
      <c r="H146" s="25"/>
      <c r="I146" s="25"/>
      <c r="J146" s="25"/>
      <c r="K146" s="25"/>
      <c r="L146" s="25"/>
      <c r="M146" s="25"/>
      <c r="N146" s="25"/>
    </row>
    <row r="147" spans="1:30" ht="13.5" customHeight="1" x14ac:dyDescent="0.2">
      <c r="C147" s="37"/>
      <c r="D147" s="27"/>
      <c r="E147" s="27"/>
      <c r="F147" s="27"/>
      <c r="G147" s="27"/>
      <c r="H147" s="27"/>
      <c r="I147" s="27"/>
      <c r="J147" s="27"/>
      <c r="K147" s="27"/>
      <c r="L147" s="27"/>
      <c r="M147" s="27"/>
      <c r="N147" s="27"/>
    </row>
    <row r="148" spans="1:30" x14ac:dyDescent="0.2">
      <c r="AA148" s="5" t="s">
        <v>61</v>
      </c>
    </row>
    <row r="149" spans="1:30" x14ac:dyDescent="0.2">
      <c r="A149" s="89" t="s">
        <v>506</v>
      </c>
      <c r="Y149" s="339" t="s">
        <v>70</v>
      </c>
      <c r="Z149" s="339"/>
      <c r="AA149" s="339"/>
    </row>
    <row r="150" spans="1:30" ht="12.75" customHeight="1" x14ac:dyDescent="0.2">
      <c r="B150" s="345" t="s">
        <v>505</v>
      </c>
      <c r="C150" s="345"/>
      <c r="D150" s="345"/>
      <c r="E150" s="345"/>
      <c r="F150" s="345"/>
      <c r="G150" s="345"/>
      <c r="H150" s="345"/>
      <c r="I150" s="345"/>
      <c r="J150" s="345"/>
      <c r="K150" s="345"/>
      <c r="L150" s="345"/>
      <c r="M150" s="345"/>
      <c r="N150" s="345"/>
      <c r="O150" s="345"/>
      <c r="P150" s="345"/>
      <c r="Q150" s="345"/>
      <c r="R150" s="345"/>
      <c r="S150" s="345"/>
      <c r="T150" s="345"/>
      <c r="U150" s="345"/>
      <c r="V150" s="345"/>
      <c r="W150" s="345"/>
      <c r="X150" s="346"/>
      <c r="Y150" s="339"/>
      <c r="Z150" s="339"/>
      <c r="AA150" s="339"/>
    </row>
    <row r="151" spans="1:30" x14ac:dyDescent="0.2">
      <c r="B151" s="345"/>
      <c r="C151" s="345"/>
      <c r="D151" s="345"/>
      <c r="E151" s="345"/>
      <c r="F151" s="345"/>
      <c r="G151" s="345"/>
      <c r="H151" s="345"/>
      <c r="I151" s="345"/>
      <c r="J151" s="345"/>
      <c r="K151" s="345"/>
      <c r="L151" s="345"/>
      <c r="M151" s="345"/>
      <c r="N151" s="345"/>
      <c r="O151" s="345"/>
      <c r="P151" s="345"/>
      <c r="Q151" s="345"/>
      <c r="R151" s="345"/>
      <c r="S151" s="345"/>
      <c r="T151" s="345"/>
      <c r="U151" s="345"/>
      <c r="V151" s="345"/>
      <c r="W151" s="345"/>
      <c r="X151" s="346"/>
      <c r="Y151" s="347" t="str">
        <f>IF(AND(Y90&lt;&gt;"",Y90&gt;=0.2,B155="✔",(AC158+AC166+AC175)&gt;=2),MIN(15,SUM(Y164,Y174,Y181)),"")</f>
        <v/>
      </c>
      <c r="Z151" s="348"/>
      <c r="AA151" s="23" t="s">
        <v>0</v>
      </c>
    </row>
    <row r="152" spans="1:30" x14ac:dyDescent="0.2">
      <c r="B152" s="29"/>
      <c r="C152" s="343" t="s">
        <v>507</v>
      </c>
      <c r="D152" s="343"/>
      <c r="E152" s="343"/>
      <c r="F152" s="343"/>
      <c r="G152" s="343"/>
      <c r="H152" s="343"/>
      <c r="I152" s="343"/>
      <c r="J152" s="343"/>
      <c r="K152" s="343"/>
      <c r="L152" s="343"/>
      <c r="M152" s="343"/>
      <c r="N152" s="343"/>
      <c r="O152" s="343"/>
      <c r="P152" s="343"/>
      <c r="Q152" s="343"/>
      <c r="R152" s="343"/>
      <c r="S152" s="343"/>
      <c r="T152" s="343"/>
      <c r="U152" s="343"/>
      <c r="V152" s="343"/>
      <c r="W152" s="343"/>
      <c r="X152" s="343"/>
      <c r="Y152" s="343"/>
      <c r="Z152" s="343"/>
      <c r="AA152" s="343"/>
    </row>
    <row r="153" spans="1:30" ht="13.5" customHeight="1" x14ac:dyDescent="0.2">
      <c r="B153" s="29"/>
      <c r="C153" s="343"/>
      <c r="D153" s="343"/>
      <c r="E153" s="343"/>
      <c r="F153" s="343"/>
      <c r="G153" s="343"/>
      <c r="H153" s="343"/>
      <c r="I153" s="343"/>
      <c r="J153" s="343"/>
      <c r="K153" s="343"/>
      <c r="L153" s="343"/>
      <c r="M153" s="343"/>
      <c r="N153" s="343"/>
      <c r="O153" s="343"/>
      <c r="P153" s="343"/>
      <c r="Q153" s="343"/>
      <c r="R153" s="343"/>
      <c r="S153" s="343"/>
      <c r="T153" s="343"/>
      <c r="U153" s="343"/>
      <c r="V153" s="343"/>
      <c r="W153" s="343"/>
      <c r="X153" s="343"/>
      <c r="Y153" s="343"/>
      <c r="Z153" s="343"/>
      <c r="AA153" s="343"/>
    </row>
    <row r="154" spans="1:30" ht="7.2" customHeight="1" x14ac:dyDescent="0.2"/>
    <row r="155" spans="1:30" x14ac:dyDescent="0.2">
      <c r="B155" s="51"/>
      <c r="C155" s="1" t="s">
        <v>20</v>
      </c>
      <c r="H155" s="1" t="s">
        <v>150</v>
      </c>
      <c r="AD155" s="3" t="s">
        <v>64</v>
      </c>
    </row>
    <row r="157" spans="1:30" ht="7.2" customHeight="1" x14ac:dyDescent="0.2"/>
    <row r="158" spans="1:30" ht="13.5" customHeight="1" x14ac:dyDescent="0.2">
      <c r="B158" s="51"/>
      <c r="C158" s="1" t="s">
        <v>120</v>
      </c>
      <c r="H158" s="318" t="s">
        <v>125</v>
      </c>
      <c r="I158" s="318"/>
      <c r="J158" s="318"/>
      <c r="K158" s="318"/>
      <c r="L158" s="318"/>
      <c r="M158" s="318"/>
      <c r="N158" s="318"/>
      <c r="O158" s="318"/>
      <c r="P158" s="318"/>
      <c r="Q158" s="318"/>
      <c r="R158" s="318"/>
      <c r="S158" s="318"/>
      <c r="T158" s="318"/>
      <c r="U158" s="318"/>
      <c r="V158" s="318"/>
      <c r="W158" s="318"/>
      <c r="X158" s="318"/>
      <c r="Y158" s="318"/>
      <c r="Z158" s="318"/>
      <c r="AA158" s="318"/>
      <c r="AC158" s="3">
        <f>IF(AND(B158="✔",N163&gt;=7),1,0)</f>
        <v>0</v>
      </c>
    </row>
    <row r="159" spans="1:30" x14ac:dyDescent="0.2">
      <c r="H159" s="318"/>
      <c r="I159" s="318"/>
      <c r="J159" s="318"/>
      <c r="K159" s="318"/>
      <c r="L159" s="318"/>
      <c r="M159" s="318"/>
      <c r="N159" s="318"/>
      <c r="O159" s="318"/>
      <c r="P159" s="318"/>
      <c r="Q159" s="318"/>
      <c r="R159" s="318"/>
      <c r="S159" s="318"/>
      <c r="T159" s="318"/>
      <c r="U159" s="318"/>
      <c r="V159" s="318"/>
      <c r="W159" s="318"/>
      <c r="X159" s="318"/>
      <c r="Y159" s="318"/>
      <c r="Z159" s="318"/>
      <c r="AA159" s="318"/>
    </row>
    <row r="160" spans="1:30" x14ac:dyDescent="0.2">
      <c r="H160" s="318"/>
      <c r="I160" s="318"/>
      <c r="J160" s="318"/>
      <c r="K160" s="318"/>
      <c r="L160" s="318"/>
      <c r="M160" s="318"/>
      <c r="N160" s="318"/>
      <c r="O160" s="318"/>
      <c r="P160" s="318"/>
      <c r="Q160" s="318"/>
      <c r="R160" s="318"/>
      <c r="S160" s="318"/>
      <c r="T160" s="318"/>
      <c r="U160" s="318"/>
      <c r="V160" s="318"/>
      <c r="W160" s="318"/>
      <c r="X160" s="318"/>
      <c r="Y160" s="318"/>
      <c r="Z160" s="318"/>
      <c r="AA160" s="318"/>
    </row>
    <row r="161" spans="2:29" x14ac:dyDescent="0.2">
      <c r="H161" s="318"/>
      <c r="I161" s="318"/>
      <c r="J161" s="318"/>
      <c r="K161" s="318"/>
      <c r="L161" s="318"/>
      <c r="M161" s="318"/>
      <c r="N161" s="318"/>
      <c r="O161" s="318"/>
      <c r="P161" s="318"/>
      <c r="Q161" s="318"/>
      <c r="R161" s="318"/>
      <c r="S161" s="318"/>
      <c r="T161" s="318"/>
      <c r="U161" s="318"/>
      <c r="V161" s="318"/>
      <c r="W161" s="318"/>
      <c r="X161" s="318"/>
      <c r="Y161" s="318"/>
      <c r="Z161" s="318"/>
      <c r="AA161" s="318"/>
    </row>
    <row r="162" spans="2:29" x14ac:dyDescent="0.2">
      <c r="H162" s="349" t="s">
        <v>123</v>
      </c>
      <c r="I162" s="349"/>
      <c r="J162" s="349"/>
      <c r="K162" s="349"/>
      <c r="L162" s="349"/>
      <c r="M162" s="349"/>
      <c r="N162" s="349"/>
      <c r="O162" s="349"/>
      <c r="P162" s="349"/>
      <c r="Q162" s="349"/>
      <c r="R162" s="349"/>
      <c r="S162" s="349"/>
      <c r="T162" s="349"/>
      <c r="U162" s="349"/>
      <c r="V162" s="349"/>
      <c r="W162" s="349"/>
      <c r="X162" s="350"/>
      <c r="Y162" s="339" t="s">
        <v>70</v>
      </c>
      <c r="Z162" s="339"/>
      <c r="AA162" s="339"/>
    </row>
    <row r="163" spans="2:29" ht="13.5" customHeight="1" x14ac:dyDescent="0.2">
      <c r="D163" s="1" t="s">
        <v>121</v>
      </c>
      <c r="N163" s="311"/>
      <c r="O163" s="312"/>
      <c r="P163" s="313"/>
      <c r="Q163" s="1" t="s">
        <v>69</v>
      </c>
      <c r="Y163" s="339"/>
      <c r="Z163" s="339"/>
      <c r="AA163" s="339"/>
      <c r="AB163" s="4" t="str">
        <f>IF(AND(B158="✔",N163=""),"←建築大工技能を活用した見付面積を入力してください。","")</f>
        <v/>
      </c>
    </row>
    <row r="164" spans="2:29" x14ac:dyDescent="0.2">
      <c r="C164" s="34" t="s">
        <v>148</v>
      </c>
      <c r="H164" s="29"/>
      <c r="I164" s="29"/>
      <c r="J164" s="29"/>
      <c r="K164" s="29"/>
      <c r="L164" s="29"/>
      <c r="M164" s="29"/>
      <c r="N164" s="29"/>
      <c r="O164" s="29"/>
      <c r="P164" s="29"/>
      <c r="Q164" s="29"/>
      <c r="R164" s="29"/>
      <c r="S164" s="29"/>
      <c r="T164" s="29"/>
      <c r="U164" s="29"/>
      <c r="V164" s="29"/>
      <c r="W164" s="29"/>
      <c r="X164" s="29"/>
      <c r="Y164" s="347" t="str">
        <f>IF(AND(N163&gt;=7,B158="✔"),INT(N163)*1.1,"")</f>
        <v/>
      </c>
      <c r="Z164" s="348"/>
      <c r="AA164" s="23" t="s">
        <v>0</v>
      </c>
    </row>
    <row r="166" spans="2:29" x14ac:dyDescent="0.2">
      <c r="B166" s="51"/>
      <c r="C166" s="1" t="s">
        <v>127</v>
      </c>
      <c r="H166" s="44" t="s">
        <v>145</v>
      </c>
      <c r="AC166" s="3">
        <f>IF(AND(B166="✔",N170&gt;=7),1,0)</f>
        <v>0</v>
      </c>
    </row>
    <row r="167" spans="2:29" x14ac:dyDescent="0.2">
      <c r="H167" s="44" t="s">
        <v>146</v>
      </c>
    </row>
    <row r="168" spans="2:29" x14ac:dyDescent="0.2">
      <c r="H168" s="1" t="s">
        <v>152</v>
      </c>
    </row>
    <row r="169" spans="2:29" ht="13.5" customHeight="1" x14ac:dyDescent="0.2">
      <c r="H169" s="349" t="s">
        <v>153</v>
      </c>
      <c r="I169" s="349"/>
      <c r="J169" s="349"/>
      <c r="K169" s="349"/>
      <c r="L169" s="349"/>
      <c r="M169" s="349"/>
      <c r="N169" s="349"/>
      <c r="O169" s="349"/>
      <c r="P169" s="349"/>
      <c r="Q169" s="349"/>
      <c r="R169" s="349"/>
      <c r="S169" s="349"/>
      <c r="T169" s="349"/>
      <c r="U169" s="349"/>
      <c r="V169" s="349"/>
      <c r="W169" s="349"/>
      <c r="X169" s="349"/>
      <c r="AB169" s="17" t="str">
        <f>IF(AND(N170&gt;0,R170=""),"←こて塗り仕上げの材料を選択してください。",IF(AND(R170="その他のこて塗り",V170=""),"←こて塗りの材料を記載してください。",""))</f>
        <v/>
      </c>
    </row>
    <row r="170" spans="2:29" x14ac:dyDescent="0.2">
      <c r="D170" s="1" t="s">
        <v>142</v>
      </c>
      <c r="N170" s="311"/>
      <c r="O170" s="312"/>
      <c r="P170" s="313"/>
      <c r="Q170" s="1" t="s">
        <v>69</v>
      </c>
      <c r="R170" s="375"/>
      <c r="S170" s="375"/>
      <c r="T170" s="375"/>
      <c r="U170" s="375"/>
      <c r="V170" s="400"/>
      <c r="W170" s="331"/>
      <c r="X170" s="331"/>
      <c r="Y170" s="331"/>
      <c r="Z170" s="331"/>
      <c r="AB170" s="4" t="str">
        <f>IF(AND(B166="✔",N170=""),"←こて塗りの面積を入力してください。","")</f>
        <v/>
      </c>
      <c r="AC170" s="17"/>
    </row>
    <row r="171" spans="2:29" x14ac:dyDescent="0.2">
      <c r="C171" s="34" t="s">
        <v>147</v>
      </c>
      <c r="Y171" s="42"/>
      <c r="Z171" s="42"/>
      <c r="AB171" s="4"/>
      <c r="AC171" s="17"/>
    </row>
    <row r="172" spans="2:29" x14ac:dyDescent="0.2">
      <c r="Y172" s="339" t="s">
        <v>70</v>
      </c>
      <c r="Z172" s="339"/>
      <c r="AA172" s="339"/>
    </row>
    <row r="173" spans="2:29" x14ac:dyDescent="0.2">
      <c r="Y173" s="339"/>
      <c r="Z173" s="339"/>
      <c r="AA173" s="339"/>
    </row>
    <row r="174" spans="2:29" x14ac:dyDescent="0.2">
      <c r="Y174" s="347" t="str">
        <f>IF(AND(N170&gt;=7,B166="✔"),INT(N170)*1.3,"")</f>
        <v/>
      </c>
      <c r="Z174" s="348"/>
      <c r="AA174" s="23" t="s">
        <v>0</v>
      </c>
    </row>
    <row r="175" spans="2:29" x14ac:dyDescent="0.2">
      <c r="B175" s="51"/>
      <c r="C175" s="1" t="s">
        <v>128</v>
      </c>
      <c r="H175" s="318" t="s">
        <v>126</v>
      </c>
      <c r="I175" s="318"/>
      <c r="J175" s="318"/>
      <c r="K175" s="318"/>
      <c r="L175" s="318"/>
      <c r="M175" s="318"/>
      <c r="N175" s="318"/>
      <c r="O175" s="318"/>
      <c r="P175" s="318"/>
      <c r="Q175" s="318"/>
      <c r="R175" s="318"/>
      <c r="S175" s="318"/>
      <c r="T175" s="318"/>
      <c r="U175" s="318"/>
      <c r="V175" s="318"/>
      <c r="W175" s="318"/>
      <c r="X175" s="318"/>
      <c r="Y175" s="318"/>
      <c r="Z175" s="318"/>
      <c r="AA175" s="318"/>
      <c r="AC175" s="3">
        <f>IF(AND(B175="✔",N181&gt;=3),1,0)</f>
        <v>0</v>
      </c>
    </row>
    <row r="176" spans="2:29" x14ac:dyDescent="0.2">
      <c r="H176" s="318"/>
      <c r="I176" s="318"/>
      <c r="J176" s="318"/>
      <c r="K176" s="318"/>
      <c r="L176" s="318"/>
      <c r="M176" s="318"/>
      <c r="N176" s="318"/>
      <c r="O176" s="318"/>
      <c r="P176" s="318"/>
      <c r="Q176" s="318"/>
      <c r="R176" s="318"/>
      <c r="S176" s="318"/>
      <c r="T176" s="318"/>
      <c r="U176" s="318"/>
      <c r="V176" s="318"/>
      <c r="W176" s="318"/>
      <c r="X176" s="318"/>
      <c r="Y176" s="318"/>
      <c r="Z176" s="318"/>
      <c r="AA176" s="318"/>
    </row>
    <row r="177" spans="3:28" x14ac:dyDescent="0.2">
      <c r="H177" s="318"/>
      <c r="I177" s="318"/>
      <c r="J177" s="318"/>
      <c r="K177" s="318"/>
      <c r="L177" s="318"/>
      <c r="M177" s="318"/>
      <c r="N177" s="318"/>
      <c r="O177" s="318"/>
      <c r="P177" s="318"/>
      <c r="Q177" s="318"/>
      <c r="R177" s="318"/>
      <c r="S177" s="318"/>
      <c r="T177" s="318"/>
      <c r="U177" s="318"/>
      <c r="V177" s="318"/>
      <c r="W177" s="318"/>
      <c r="X177" s="318"/>
      <c r="Y177" s="318"/>
      <c r="Z177" s="318"/>
      <c r="AA177" s="318"/>
    </row>
    <row r="178" spans="3:28" ht="13.5" customHeight="1" x14ac:dyDescent="0.2">
      <c r="H178" s="406"/>
      <c r="I178" s="406"/>
      <c r="J178" s="406"/>
      <c r="K178" s="406"/>
      <c r="L178" s="406"/>
      <c r="M178" s="406"/>
      <c r="N178" s="406"/>
      <c r="O178" s="406"/>
      <c r="P178" s="318"/>
      <c r="Q178" s="318"/>
      <c r="R178" s="318"/>
      <c r="S178" s="318"/>
      <c r="T178" s="318"/>
      <c r="U178" s="318"/>
      <c r="V178" s="318"/>
      <c r="W178" s="318"/>
      <c r="X178" s="318"/>
      <c r="Y178" s="318"/>
      <c r="Z178" s="318"/>
      <c r="AA178" s="318"/>
    </row>
    <row r="179" spans="3:28" x14ac:dyDescent="0.2">
      <c r="H179" s="406"/>
      <c r="I179" s="406"/>
      <c r="J179" s="406"/>
      <c r="K179" s="406"/>
      <c r="L179" s="406"/>
      <c r="M179" s="406"/>
      <c r="N179" s="406"/>
      <c r="O179" s="406"/>
      <c r="Y179" s="339" t="s">
        <v>70</v>
      </c>
      <c r="Z179" s="339"/>
      <c r="AA179" s="339"/>
    </row>
    <row r="180" spans="3:28" x14ac:dyDescent="0.2">
      <c r="H180" s="349" t="s">
        <v>124</v>
      </c>
      <c r="I180" s="349"/>
      <c r="J180" s="349"/>
      <c r="K180" s="349"/>
      <c r="L180" s="349"/>
      <c r="M180" s="349"/>
      <c r="N180" s="349"/>
      <c r="O180" s="349"/>
      <c r="P180" s="349"/>
      <c r="Q180" s="349"/>
      <c r="R180" s="349"/>
      <c r="S180" s="349"/>
      <c r="T180" s="349"/>
      <c r="U180" s="349"/>
      <c r="V180" s="349"/>
      <c r="W180" s="349"/>
      <c r="X180" s="350"/>
      <c r="Y180" s="339"/>
      <c r="Z180" s="339"/>
      <c r="AA180" s="339"/>
    </row>
    <row r="181" spans="3:28" x14ac:dyDescent="0.2">
      <c r="G181" s="1" t="s">
        <v>72</v>
      </c>
      <c r="N181" s="311"/>
      <c r="O181" s="312"/>
      <c r="P181" s="313"/>
      <c r="Q181" s="1" t="s">
        <v>69</v>
      </c>
      <c r="Y181" s="347" t="str">
        <f>IF(AND(N181&gt;=3,B175="✔"),INT(N181)*1.9,"")</f>
        <v/>
      </c>
      <c r="Z181" s="348"/>
      <c r="AA181" s="23" t="s">
        <v>0</v>
      </c>
      <c r="AB181" s="4" t="str">
        <f>IF(AND(B175="✔",N181=""),"←木製建具の見付面積を入力してください。","")</f>
        <v/>
      </c>
    </row>
    <row r="182" spans="3:28" x14ac:dyDescent="0.2">
      <c r="C182" s="343" t="s">
        <v>158</v>
      </c>
      <c r="D182" s="343"/>
      <c r="E182" s="343"/>
      <c r="F182" s="343"/>
      <c r="G182" s="343"/>
      <c r="H182" s="343"/>
      <c r="I182" s="343"/>
      <c r="J182" s="343"/>
      <c r="K182" s="343"/>
      <c r="L182" s="343"/>
      <c r="M182" s="343"/>
      <c r="N182" s="343"/>
      <c r="O182" s="343"/>
      <c r="P182" s="343"/>
      <c r="Q182" s="343"/>
      <c r="R182" s="343"/>
      <c r="S182" s="343"/>
      <c r="T182" s="343"/>
      <c r="U182" s="343"/>
      <c r="V182" s="343"/>
      <c r="W182" s="343"/>
      <c r="X182" s="343"/>
      <c r="Y182" s="343"/>
      <c r="Z182" s="343"/>
      <c r="AA182" s="343"/>
    </row>
    <row r="183" spans="3:28" x14ac:dyDescent="0.2">
      <c r="C183" s="343"/>
      <c r="D183" s="343"/>
      <c r="E183" s="343"/>
      <c r="F183" s="343"/>
      <c r="G183" s="343"/>
      <c r="H183" s="343"/>
      <c r="I183" s="343"/>
      <c r="J183" s="343"/>
      <c r="K183" s="343"/>
      <c r="L183" s="343"/>
      <c r="M183" s="343"/>
      <c r="N183" s="343"/>
      <c r="O183" s="343"/>
      <c r="P183" s="343"/>
      <c r="Q183" s="343"/>
      <c r="R183" s="343"/>
      <c r="S183" s="343"/>
      <c r="T183" s="343"/>
      <c r="U183" s="343"/>
      <c r="V183" s="343"/>
      <c r="W183" s="343"/>
      <c r="X183" s="343"/>
      <c r="Y183" s="343"/>
      <c r="Z183" s="343"/>
      <c r="AA183" s="343"/>
    </row>
    <row r="184" spans="3:28" x14ac:dyDescent="0.2">
      <c r="C184" s="343"/>
      <c r="D184" s="343"/>
      <c r="E184" s="343"/>
      <c r="F184" s="343"/>
      <c r="G184" s="343"/>
      <c r="H184" s="343"/>
      <c r="I184" s="343"/>
      <c r="J184" s="343"/>
      <c r="K184" s="343"/>
      <c r="L184" s="343"/>
      <c r="M184" s="343"/>
      <c r="N184" s="343"/>
      <c r="O184" s="343"/>
      <c r="P184" s="343"/>
      <c r="Q184" s="343"/>
      <c r="R184" s="343"/>
      <c r="S184" s="343"/>
      <c r="T184" s="343"/>
      <c r="U184" s="343"/>
      <c r="V184" s="343"/>
      <c r="W184" s="343"/>
      <c r="X184" s="343"/>
      <c r="Y184" s="343"/>
      <c r="Z184" s="343"/>
      <c r="AA184" s="343"/>
    </row>
    <row r="185" spans="3:28" x14ac:dyDescent="0.2">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row>
    <row r="186" spans="3:28" x14ac:dyDescent="0.2">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5" t="s">
        <v>61</v>
      </c>
    </row>
    <row r="187" spans="3:28" x14ac:dyDescent="0.2">
      <c r="K187" s="408">
        <f>T191+T192</f>
        <v>0</v>
      </c>
      <c r="L187" s="409"/>
      <c r="M187" s="410"/>
      <c r="AB187" s="50">
        <f>SUM(Y151,Y10,Y102,Y90,Y120)</f>
        <v>0</v>
      </c>
    </row>
    <row r="188" spans="3:28" x14ac:dyDescent="0.2">
      <c r="C188" s="1" t="s">
        <v>53</v>
      </c>
      <c r="K188" s="411"/>
      <c r="L188" s="412"/>
      <c r="M188" s="413"/>
      <c r="N188" s="1" t="s">
        <v>54</v>
      </c>
    </row>
    <row r="189" spans="3:28" x14ac:dyDescent="0.2">
      <c r="K189" s="302"/>
      <c r="L189" s="302"/>
      <c r="M189" s="302"/>
    </row>
    <row r="190" spans="3:28" x14ac:dyDescent="0.2">
      <c r="D190" s="1" t="s">
        <v>488</v>
      </c>
    </row>
    <row r="191" spans="3:28" ht="27" customHeight="1" x14ac:dyDescent="0.2">
      <c r="D191" s="418" t="s">
        <v>489</v>
      </c>
      <c r="E191" s="419"/>
      <c r="F191" s="419"/>
      <c r="G191" s="419"/>
      <c r="H191" s="419"/>
      <c r="I191" s="419"/>
      <c r="J191" s="419"/>
      <c r="K191" s="419"/>
      <c r="L191" s="419"/>
      <c r="M191" s="419"/>
      <c r="N191" s="419"/>
      <c r="O191" s="419"/>
      <c r="P191" s="419"/>
      <c r="Q191" s="419"/>
      <c r="R191" s="419"/>
      <c r="S191" s="420"/>
      <c r="T191" s="421">
        <f>IF(Y90="",0,MIN(SUM(Y90,Y102,Y120,Y151),50,ROUNDDOWN(S31/2,1)))</f>
        <v>0</v>
      </c>
      <c r="U191" s="422"/>
      <c r="V191" s="422"/>
      <c r="W191" s="10" t="s">
        <v>0</v>
      </c>
      <c r="X191" s="11"/>
    </row>
    <row r="192" spans="3:28" ht="28.5" customHeight="1" x14ac:dyDescent="0.2">
      <c r="D192" s="423" t="s">
        <v>211</v>
      </c>
      <c r="E192" s="424"/>
      <c r="F192" s="424"/>
      <c r="G192" s="424"/>
      <c r="H192" s="424"/>
      <c r="I192" s="424"/>
      <c r="J192" s="424"/>
      <c r="K192" s="424"/>
      <c r="L192" s="424"/>
      <c r="M192" s="424"/>
      <c r="N192" s="424"/>
      <c r="O192" s="424"/>
      <c r="P192" s="424"/>
      <c r="Q192" s="424"/>
      <c r="R192" s="424"/>
      <c r="S192" s="424"/>
      <c r="T192" s="421">
        <f>IF(B51="✔",IF(U51="",0,IF(U51="その他",0,【様式第６号の３】補助基準額等算定表!D66/10000)),0)</f>
        <v>0</v>
      </c>
      <c r="U192" s="422"/>
      <c r="V192" s="422"/>
      <c r="W192" s="10" t="s">
        <v>0</v>
      </c>
      <c r="X192" s="11"/>
      <c r="AB192" s="3" t="str">
        <f>IF(U5="","",IF(AND(B11="",B14=""),"",IF(AND(B11="✔",B14="✔"),"error",IF(B23="✔",IF(U5="T-G1",5,IF(U5="T-G2",15,IF(U5="T-G3",25,0))),(IF(U5="T-G1",10,IF(U5="T-G2",30,IF(U5="T-G3",50,0)))))))+IF(B19="",IF(B21="",IF(B23="",IF(B25="",(IF(U11="『ZEH』",50,IF(U11="Nearly ZEH（多雪地域に限る）",50,0))))))))</f>
        <v/>
      </c>
    </row>
    <row r="193" spans="1:22" ht="20.25" customHeight="1" x14ac:dyDescent="0.2">
      <c r="D193" s="19"/>
      <c r="E193" s="19"/>
      <c r="F193" s="19"/>
      <c r="G193" s="19"/>
      <c r="H193" s="19"/>
      <c r="I193" s="19"/>
      <c r="J193" s="19"/>
      <c r="K193" s="19"/>
      <c r="L193" s="19"/>
      <c r="M193" s="19"/>
      <c r="N193" s="19"/>
      <c r="O193" s="19"/>
      <c r="P193" s="19"/>
      <c r="Q193" s="19"/>
      <c r="R193" s="19"/>
      <c r="S193" s="19"/>
      <c r="T193" s="301"/>
      <c r="U193" s="301"/>
      <c r="V193" s="301"/>
    </row>
    <row r="194" spans="1:22" x14ac:dyDescent="0.2">
      <c r="A194" s="13" t="s">
        <v>66</v>
      </c>
    </row>
    <row r="195" spans="1:22" x14ac:dyDescent="0.2">
      <c r="A195" s="17" t="s">
        <v>141</v>
      </c>
    </row>
    <row r="196" spans="1:22" ht="16.2" x14ac:dyDescent="0.2">
      <c r="A196" s="30" t="s">
        <v>58</v>
      </c>
    </row>
    <row r="199" spans="1:22" x14ac:dyDescent="0.2">
      <c r="C199" s="1" t="s">
        <v>157</v>
      </c>
    </row>
    <row r="200" spans="1:22" x14ac:dyDescent="0.2">
      <c r="C200" s="17" t="s">
        <v>490</v>
      </c>
    </row>
    <row r="202" spans="1:22" x14ac:dyDescent="0.2">
      <c r="C202" s="1" t="s">
        <v>493</v>
      </c>
    </row>
    <row r="203" spans="1:22" x14ac:dyDescent="0.2">
      <c r="C203" s="1" t="s">
        <v>494</v>
      </c>
    </row>
    <row r="204" spans="1:22" x14ac:dyDescent="0.2">
      <c r="C204" s="1" t="str">
        <f>IF(AND(I45="",I45=""),"",IF(I45="要","検査済証の写し",""))</f>
        <v/>
      </c>
    </row>
    <row r="205" spans="1:22" x14ac:dyDescent="0.2">
      <c r="C205" s="1" t="str">
        <f>IF(AND(T45="",T45=""),"",IF(T45="要","建築工事届の写し（検査済み証がある場合は不要）",""))</f>
        <v/>
      </c>
    </row>
    <row r="206" spans="1:22" x14ac:dyDescent="0.2">
      <c r="C206" s="1" t="str">
        <f>IF(B72="✔","変更後の改修部分の図面に改修内容を記載したもの）","")</f>
        <v/>
      </c>
    </row>
    <row r="207" spans="1:22" x14ac:dyDescent="0.2">
      <c r="C207" s="1" t="s">
        <v>156</v>
      </c>
    </row>
    <row r="208" spans="1:22" x14ac:dyDescent="0.2">
      <c r="C208" s="1" t="s">
        <v>406</v>
      </c>
    </row>
    <row r="209" spans="3:38" ht="25.5" customHeight="1" x14ac:dyDescent="0.2">
      <c r="C209" s="407" t="str">
        <f>IF(B78="","","県内プレカット加工証明書（様式第９号）の原本若しくはその写し又はプレカット工場が記載された県産材の産地証明書写し")</f>
        <v/>
      </c>
      <c r="D209" s="407"/>
      <c r="E209" s="407"/>
      <c r="F209" s="407"/>
      <c r="G209" s="407"/>
      <c r="H209" s="407"/>
      <c r="I209" s="407"/>
      <c r="J209" s="407"/>
      <c r="K209" s="407"/>
      <c r="L209" s="407"/>
      <c r="M209" s="407"/>
      <c r="N209" s="407"/>
      <c r="O209" s="407"/>
      <c r="P209" s="407"/>
      <c r="Q209" s="407"/>
      <c r="R209" s="407"/>
      <c r="S209" s="407"/>
      <c r="T209" s="407"/>
      <c r="U209" s="407"/>
      <c r="V209" s="407"/>
      <c r="W209" s="407"/>
      <c r="X209" s="407"/>
      <c r="Y209" s="407"/>
      <c r="Z209" s="407"/>
      <c r="AA209" s="407"/>
    </row>
    <row r="210" spans="3:38" ht="37.5" customHeight="1" x14ac:dyDescent="0.2">
      <c r="C210" s="407" t="str">
        <f>IF(Q89="","","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10" s="407"/>
      <c r="E210" s="407"/>
      <c r="F210" s="407"/>
      <c r="G210" s="407"/>
      <c r="H210" s="407"/>
      <c r="I210" s="407"/>
      <c r="J210" s="407"/>
      <c r="K210" s="407"/>
      <c r="L210" s="407"/>
      <c r="M210" s="407"/>
      <c r="N210" s="407"/>
      <c r="O210" s="407"/>
      <c r="P210" s="407"/>
      <c r="Q210" s="407"/>
      <c r="R210" s="407"/>
      <c r="S210" s="407"/>
      <c r="T210" s="407"/>
      <c r="U210" s="407"/>
      <c r="V210" s="407"/>
      <c r="W210" s="407"/>
      <c r="X210" s="407"/>
      <c r="Y210" s="407"/>
      <c r="Z210" s="407"/>
      <c r="AA210" s="407"/>
    </row>
    <row r="211" spans="3:38" x14ac:dyDescent="0.2">
      <c r="C211" s="407" t="str">
        <f>IF(OR(Y102=0,Y102=""),"","補助対象住宅に転居後の世帯全員の住民票")</f>
        <v/>
      </c>
      <c r="D211" s="407"/>
      <c r="E211" s="407"/>
      <c r="F211" s="407"/>
      <c r="G211" s="407"/>
      <c r="H211" s="407"/>
      <c r="I211" s="407"/>
      <c r="J211" s="407"/>
      <c r="K211" s="407"/>
      <c r="L211" s="407"/>
      <c r="M211" s="407"/>
      <c r="N211" s="407"/>
      <c r="O211" s="407"/>
      <c r="P211" s="407"/>
      <c r="Q211" s="407"/>
      <c r="R211" s="407"/>
      <c r="S211" s="407"/>
      <c r="T211" s="407"/>
      <c r="U211" s="407"/>
      <c r="V211" s="407"/>
      <c r="W211" s="407"/>
      <c r="X211" s="407"/>
      <c r="Y211" s="407"/>
      <c r="Z211" s="407"/>
      <c r="AA211" s="407"/>
    </row>
    <row r="212" spans="3:38" x14ac:dyDescent="0.2">
      <c r="C212" s="407" t="str">
        <f>IF(AND(Y102=10,B104="",P104="✔"),"申請者の戸籍抄本、申請者の戸籍謄本","")</f>
        <v/>
      </c>
      <c r="D212" s="407"/>
      <c r="E212" s="407"/>
      <c r="F212" s="407"/>
      <c r="G212" s="407"/>
      <c r="H212" s="407"/>
      <c r="I212" s="407"/>
      <c r="J212" s="407"/>
      <c r="K212" s="407"/>
      <c r="L212" s="407"/>
      <c r="M212" s="407"/>
      <c r="N212" s="407"/>
      <c r="O212" s="407"/>
      <c r="P212" s="407"/>
      <c r="Q212" s="407"/>
      <c r="R212" s="407"/>
      <c r="S212" s="407"/>
      <c r="T212" s="407"/>
      <c r="U212" s="407"/>
      <c r="V212" s="407"/>
      <c r="W212" s="407"/>
      <c r="X212" s="407"/>
      <c r="Y212" s="407"/>
      <c r="Z212" s="407"/>
      <c r="AA212" s="407"/>
      <c r="AB212" s="55" t="str">
        <f>IF(C212="","","戸籍謄本、戸籍抄本、誓約書いづれか一つを添付してください。")</f>
        <v/>
      </c>
    </row>
    <row r="213" spans="3:38" ht="40.200000000000003" customHeight="1" x14ac:dyDescent="0.2">
      <c r="C213" s="318" t="str">
        <f>IF(B125="✔","同居又は近居する直系親族世帯全員の住民票の写し　（補助対象住宅に転居後のもの）
同居又は近居する直系親族と姓が異なる場合は、申請者の戸籍謄本等直系親族とわかる書類）","")</f>
        <v/>
      </c>
      <c r="D213" s="318"/>
      <c r="E213" s="318"/>
      <c r="F213" s="318"/>
      <c r="G213" s="318"/>
      <c r="H213" s="318"/>
      <c r="I213" s="318"/>
      <c r="J213" s="318"/>
      <c r="K213" s="318"/>
      <c r="L213" s="318"/>
      <c r="M213" s="318"/>
      <c r="N213" s="318"/>
      <c r="O213" s="318"/>
      <c r="P213" s="318"/>
      <c r="Q213" s="318"/>
      <c r="R213" s="318"/>
      <c r="S213" s="318"/>
      <c r="T213" s="318"/>
      <c r="U213" s="318"/>
      <c r="V213" s="318"/>
      <c r="W213" s="318"/>
      <c r="X213" s="318"/>
      <c r="Y213" s="318"/>
      <c r="Z213" s="318"/>
      <c r="AA213" s="318"/>
      <c r="AB213" s="55"/>
    </row>
    <row r="214" spans="3:38" x14ac:dyDescent="0.2">
      <c r="C214" s="1" t="str">
        <f>IF(Y120=10,"補助対象住宅に転居後の同居又は近居の対象となる直系親族世帯全員の住民票","")</f>
        <v/>
      </c>
    </row>
    <row r="215" spans="3:38" ht="15.75" customHeight="1" x14ac:dyDescent="0.2">
      <c r="C215" s="318" t="str">
        <f>IF(B155="","","各地域建築技能の施工面積及び施工箇所を図示した立面図、展開図等の図面")</f>
        <v/>
      </c>
      <c r="D215" s="318"/>
      <c r="E215" s="318"/>
      <c r="F215" s="318"/>
      <c r="G215" s="318"/>
      <c r="H215" s="318"/>
      <c r="I215" s="318"/>
      <c r="J215" s="318"/>
      <c r="K215" s="318"/>
      <c r="L215" s="318"/>
      <c r="M215" s="318"/>
      <c r="N215" s="318"/>
      <c r="O215" s="318"/>
      <c r="P215" s="318"/>
      <c r="Q215" s="318"/>
      <c r="R215" s="318"/>
      <c r="S215" s="318"/>
      <c r="T215" s="318"/>
      <c r="U215" s="318"/>
      <c r="V215" s="318"/>
      <c r="W215" s="318"/>
      <c r="X215" s="318"/>
      <c r="Y215" s="318"/>
      <c r="Z215" s="318"/>
      <c r="AA215" s="318"/>
    </row>
    <row r="216" spans="3:38" x14ac:dyDescent="0.2">
      <c r="C216" s="1" t="str">
        <f>IF(B158="✔","建築大工技能に係る施工状況写真（建築主名を記載した工事看板を写し込んだもの）","")</f>
        <v/>
      </c>
    </row>
    <row r="217" spans="3:38" ht="29.25" customHeight="1" x14ac:dyDescent="0.2">
      <c r="C217" s="318" t="str">
        <f>IF(B166="✔","左官仕上げのこて塗りが確認できる施工状況写真（建築主名を記載した工事看板を写し込んだもの）","")</f>
        <v/>
      </c>
      <c r="D217" s="318"/>
      <c r="E217" s="318"/>
      <c r="F217" s="318"/>
      <c r="G217" s="318"/>
      <c r="H217" s="318"/>
      <c r="I217" s="318"/>
      <c r="J217" s="318"/>
      <c r="K217" s="318"/>
      <c r="L217" s="318"/>
      <c r="M217" s="318"/>
      <c r="N217" s="318"/>
      <c r="O217" s="318"/>
      <c r="P217" s="318"/>
      <c r="Q217" s="318"/>
      <c r="R217" s="318"/>
      <c r="S217" s="318"/>
      <c r="T217" s="318"/>
      <c r="U217" s="318"/>
      <c r="V217" s="318"/>
      <c r="W217" s="318"/>
      <c r="X217" s="318"/>
      <c r="Y217" s="318"/>
      <c r="Z217" s="318"/>
      <c r="AA217" s="318"/>
      <c r="AB217" s="55" t="str">
        <f>IF(C217="","","こて塗りで実際施工中の写真を添付してください（建築主名記載の工事看板入り）。")</f>
        <v/>
      </c>
    </row>
    <row r="218" spans="3:38" ht="44.25" customHeight="1" x14ac:dyDescent="0.2">
      <c r="C218" s="318" t="str">
        <f>IF(B175="✔","木製建具の種類及び見付面積が確認できる資料、設置完了後の写真（建具の種類ごとに建築主名、建具業者名及び建具の名称を記載した工事看板を写し込んだもの）及び当該木製建具に係る納品書の写し","")</f>
        <v/>
      </c>
      <c r="D218" s="318"/>
      <c r="E218" s="318"/>
      <c r="F218" s="318"/>
      <c r="G218" s="318"/>
      <c r="H218" s="318"/>
      <c r="I218" s="318"/>
      <c r="J218" s="318"/>
      <c r="K218" s="318"/>
      <c r="L218" s="318"/>
      <c r="M218" s="318"/>
      <c r="N218" s="318"/>
      <c r="O218" s="318"/>
      <c r="P218" s="318"/>
      <c r="Q218" s="318"/>
      <c r="R218" s="318"/>
      <c r="S218" s="318"/>
      <c r="T218" s="318"/>
      <c r="U218" s="318"/>
      <c r="V218" s="318"/>
      <c r="W218" s="318"/>
      <c r="X218" s="318"/>
      <c r="Y218" s="318"/>
      <c r="Z218" s="318"/>
      <c r="AA218" s="318"/>
    </row>
    <row r="219" spans="3:38" x14ac:dyDescent="0.2">
      <c r="C219" s="1" t="str">
        <f>IF(AC220="はい","現地審査に関する通知書（竣工時）の写し","")</f>
        <v/>
      </c>
      <c r="AB219" s="68" t="s">
        <v>166</v>
      </c>
      <c r="AC219" s="68"/>
      <c r="AD219" s="68"/>
      <c r="AE219" s="68"/>
      <c r="AF219" s="68"/>
      <c r="AG219" s="68"/>
      <c r="AH219" s="68"/>
      <c r="AI219" s="68"/>
      <c r="AJ219" s="68"/>
      <c r="AK219" s="68"/>
    </row>
    <row r="220" spans="3:38" x14ac:dyDescent="0.2">
      <c r="C220" s="1" t="str">
        <f>IF(B51="✔",IF(U51="","",IF(U51="その他","","とっとり健康省エネ住宅改修支援事業補助基準額等算定表")),"")</f>
        <v/>
      </c>
      <c r="AB220" s="68" t="s">
        <v>167</v>
      </c>
      <c r="AC220" s="425" t="s">
        <v>184</v>
      </c>
      <c r="AD220" s="426"/>
      <c r="AE220" s="426"/>
      <c r="AF220" s="426"/>
      <c r="AG220" s="426"/>
      <c r="AH220" s="426"/>
      <c r="AI220" s="426"/>
      <c r="AJ220" s="426"/>
      <c r="AK220" s="427"/>
      <c r="AL220" s="68" t="s">
        <v>169</v>
      </c>
    </row>
    <row r="221" spans="3:38" x14ac:dyDescent="0.2">
      <c r="C221" s="1" t="str">
        <f>IF(B51="✔",IF(U51="","",IF(U51="その他","","認定要綱第10条第１項のとっとり健康省エネ改修住宅等認定証の写し")),"")</f>
        <v/>
      </c>
      <c r="AB221" s="68"/>
      <c r="AC221" s="296"/>
      <c r="AD221" s="296"/>
      <c r="AE221" s="296"/>
      <c r="AF221" s="296"/>
      <c r="AG221" s="296"/>
      <c r="AH221" s="296"/>
      <c r="AI221" s="296"/>
      <c r="AJ221" s="296"/>
      <c r="AK221" s="296"/>
      <c r="AL221" s="68"/>
    </row>
    <row r="222" spans="3:38" x14ac:dyDescent="0.2">
      <c r="AB222" s="68"/>
      <c r="AC222" s="296"/>
      <c r="AD222" s="296"/>
      <c r="AE222" s="296"/>
      <c r="AF222" s="296"/>
      <c r="AG222" s="296"/>
      <c r="AH222" s="296"/>
      <c r="AI222" s="296"/>
      <c r="AJ222" s="296"/>
      <c r="AK222" s="296"/>
      <c r="AL222" s="68"/>
    </row>
    <row r="223" spans="3:38" x14ac:dyDescent="0.2">
      <c r="C223" s="1" t="s">
        <v>510</v>
      </c>
      <c r="AB223" s="68"/>
      <c r="AC223" s="296"/>
      <c r="AD223" s="296"/>
      <c r="AE223" s="296"/>
      <c r="AF223" s="296"/>
      <c r="AG223" s="296"/>
      <c r="AH223" s="296"/>
      <c r="AI223" s="296"/>
      <c r="AJ223" s="296"/>
      <c r="AK223" s="296"/>
      <c r="AL223" s="68"/>
    </row>
    <row r="224" spans="3:38" x14ac:dyDescent="0.2">
      <c r="D224" s="1" t="str">
        <f>IF(T192=0,"なし","")</f>
        <v>なし</v>
      </c>
      <c r="AB224" s="68"/>
      <c r="AC224" s="296"/>
      <c r="AD224" s="296"/>
      <c r="AE224" s="296"/>
      <c r="AF224" s="296"/>
      <c r="AG224" s="296"/>
      <c r="AH224" s="296"/>
      <c r="AI224" s="296"/>
      <c r="AJ224" s="296"/>
      <c r="AK224" s="296"/>
      <c r="AL224" s="68"/>
    </row>
    <row r="225" spans="1:38" x14ac:dyDescent="0.2">
      <c r="D225" s="1" t="str">
        <f>IF(T192=0,"",IF(B20="","","住民票の写し"))</f>
        <v/>
      </c>
      <c r="AB225" s="68"/>
      <c r="AC225" s="296"/>
      <c r="AD225" s="296"/>
      <c r="AE225" s="296"/>
      <c r="AF225" s="296"/>
      <c r="AG225" s="296"/>
      <c r="AH225" s="296"/>
      <c r="AI225" s="296"/>
      <c r="AJ225" s="296"/>
      <c r="AK225" s="296"/>
      <c r="AL225" s="68"/>
    </row>
    <row r="226" spans="1:38" x14ac:dyDescent="0.2">
      <c r="D226" s="1" t="str">
        <f>IF(T192=0,"",IF(B20="","申請者が所有していることを証する書類",""))</f>
        <v/>
      </c>
    </row>
    <row r="229" spans="1:38" x14ac:dyDescent="0.2">
      <c r="A229" s="318" t="s">
        <v>399</v>
      </c>
      <c r="B229" s="318"/>
      <c r="C229" s="318"/>
      <c r="D229" s="318"/>
      <c r="E229" s="318"/>
      <c r="F229" s="318"/>
      <c r="G229" s="318"/>
      <c r="H229" s="318"/>
      <c r="I229" s="318"/>
      <c r="J229" s="318"/>
      <c r="K229" s="318"/>
      <c r="L229" s="318"/>
      <c r="M229" s="318"/>
      <c r="N229" s="318"/>
      <c r="O229" s="318"/>
      <c r="P229" s="318"/>
      <c r="Q229" s="318"/>
      <c r="R229" s="318"/>
      <c r="S229" s="318"/>
      <c r="T229" s="318"/>
      <c r="U229" s="318"/>
      <c r="V229" s="318"/>
      <c r="W229" s="318"/>
      <c r="X229" s="318"/>
      <c r="Y229" s="318"/>
      <c r="Z229" s="318"/>
      <c r="AA229" s="318"/>
    </row>
    <row r="230" spans="1:38" x14ac:dyDescent="0.2">
      <c r="A230" s="318"/>
      <c r="B230" s="318"/>
      <c r="C230" s="318"/>
      <c r="D230" s="318"/>
      <c r="E230" s="318"/>
      <c r="F230" s="318"/>
      <c r="G230" s="318"/>
      <c r="H230" s="318"/>
      <c r="I230" s="318"/>
      <c r="J230" s="318"/>
      <c r="K230" s="318"/>
      <c r="L230" s="318"/>
      <c r="M230" s="318"/>
      <c r="N230" s="318"/>
      <c r="O230" s="318"/>
      <c r="P230" s="318"/>
      <c r="Q230" s="318"/>
      <c r="R230" s="318"/>
      <c r="S230" s="318"/>
      <c r="T230" s="318"/>
      <c r="U230" s="318"/>
      <c r="V230" s="318"/>
      <c r="W230" s="318"/>
      <c r="X230" s="318"/>
      <c r="Y230" s="318"/>
      <c r="Z230" s="318"/>
      <c r="AA230" s="318"/>
    </row>
    <row r="232" spans="1:38" ht="17.25" customHeight="1" x14ac:dyDescent="0.2">
      <c r="J232" s="404" t="s">
        <v>155</v>
      </c>
      <c r="K232" s="405"/>
      <c r="L232" s="405"/>
      <c r="M232" s="405"/>
      <c r="N232" s="405"/>
      <c r="O232" s="405"/>
      <c r="P232" s="405"/>
      <c r="Q232" s="405"/>
      <c r="R232" s="405"/>
      <c r="S232" s="405"/>
      <c r="T232" s="405"/>
      <c r="U232" s="405"/>
      <c r="V232" s="405"/>
      <c r="W232" s="405"/>
      <c r="X232" s="405"/>
      <c r="Y232" s="405"/>
      <c r="Z232" s="405"/>
      <c r="AA232" s="405"/>
      <c r="AB232" s="4" t="str">
        <f>IF(P232="","←工事監理者氏名（工事監理者が不要な場合は工事施工者氏名を選択し、当該内容）を入力してください。","")</f>
        <v>←工事監理者氏名（工事監理者が不要な場合は工事施工者氏名を選択し、当該内容）を入力してください。</v>
      </c>
    </row>
    <row r="233" spans="1:38" ht="17.25" customHeight="1" x14ac:dyDescent="0.2">
      <c r="J233" s="326" t="s">
        <v>131</v>
      </c>
      <c r="K233" s="326"/>
      <c r="L233" s="326"/>
      <c r="M233" s="326"/>
      <c r="N233" s="326"/>
      <c r="O233" s="326"/>
      <c r="P233" s="405"/>
      <c r="Q233" s="405"/>
      <c r="R233" s="405"/>
      <c r="S233" s="405"/>
      <c r="T233" s="405"/>
      <c r="U233" s="405"/>
      <c r="V233" s="405"/>
      <c r="W233" s="405"/>
      <c r="X233" s="405"/>
      <c r="Y233" s="405"/>
      <c r="Z233" s="405"/>
      <c r="AA233" s="405"/>
      <c r="AB233" s="4" t="str">
        <f>IF(P233="","←建築士事務所名を入力してください。","")</f>
        <v>←建築士事務所名を入力してください。</v>
      </c>
    </row>
    <row r="234" spans="1:38" ht="17.25" customHeight="1" x14ac:dyDescent="0.2">
      <c r="J234" s="328" t="s">
        <v>132</v>
      </c>
      <c r="K234" s="329"/>
      <c r="L234" s="329"/>
      <c r="M234" s="329"/>
      <c r="N234" s="329"/>
      <c r="O234" s="330"/>
      <c r="P234" s="314" t="s">
        <v>44</v>
      </c>
      <c r="Q234" s="315"/>
      <c r="R234" s="315"/>
      <c r="S234" s="315"/>
      <c r="T234" s="312"/>
      <c r="U234" s="312"/>
      <c r="V234" s="312"/>
      <c r="W234" s="312"/>
      <c r="X234" s="312"/>
      <c r="Y234" s="312"/>
      <c r="Z234" s="312"/>
      <c r="AA234" s="313"/>
      <c r="AB234" s="4" t="str">
        <f>IF(T234="","←建築士事務所の登録区分を選択（１級、２級、木造）してください。","")</f>
        <v>←建築士事務所の登録区分を選択（１級、２級、木造）してください。</v>
      </c>
    </row>
    <row r="235" spans="1:38" ht="17.25" customHeight="1" x14ac:dyDescent="0.2">
      <c r="J235" s="400"/>
      <c r="K235" s="331"/>
      <c r="L235" s="331"/>
      <c r="M235" s="331"/>
      <c r="N235" s="331"/>
      <c r="O235" s="401"/>
      <c r="P235" s="314" t="s">
        <v>133</v>
      </c>
      <c r="Q235" s="315"/>
      <c r="R235" s="315"/>
      <c r="S235" s="315"/>
      <c r="T235" s="312"/>
      <c r="U235" s="312"/>
      <c r="V235" s="312"/>
      <c r="W235" s="312"/>
      <c r="X235" s="312"/>
      <c r="Y235" s="312"/>
      <c r="Z235" s="315" t="s">
        <v>134</v>
      </c>
      <c r="AA235" s="316"/>
      <c r="AB235" s="4" t="str">
        <f>IF(T235="","←建築士事務所の登録を受けた都道府県名入力してください。","")</f>
        <v>←建築士事務所の登録を受けた都道府県名入力してください。</v>
      </c>
    </row>
    <row r="236" spans="1:38" ht="17.25" customHeight="1" x14ac:dyDescent="0.2">
      <c r="J236" s="333"/>
      <c r="K236" s="334"/>
      <c r="L236" s="334"/>
      <c r="M236" s="334"/>
      <c r="N236" s="334"/>
      <c r="O236" s="335"/>
      <c r="P236" s="314" t="s">
        <v>135</v>
      </c>
      <c r="Q236" s="315"/>
      <c r="R236" s="315"/>
      <c r="S236" s="315"/>
      <c r="T236" s="402"/>
      <c r="U236" s="402"/>
      <c r="V236" s="402"/>
      <c r="W236" s="402"/>
      <c r="X236" s="402"/>
      <c r="Y236" s="402"/>
      <c r="Z236" s="402"/>
      <c r="AA236" s="403"/>
      <c r="AB236" s="4" t="str">
        <f>IF(T236="","←建築士事務所の登録番号を入力してください。","")</f>
        <v>←建築士事務所の登録番号を入力してください。</v>
      </c>
    </row>
    <row r="237" spans="1:38" x14ac:dyDescent="0.2">
      <c r="A237" s="1" t="s">
        <v>136</v>
      </c>
    </row>
    <row r="238" spans="1:38" ht="26.25" customHeight="1" x14ac:dyDescent="0.2">
      <c r="A238" s="318" t="s">
        <v>154</v>
      </c>
      <c r="B238" s="318"/>
      <c r="C238" s="318"/>
      <c r="D238" s="318"/>
      <c r="E238" s="318"/>
      <c r="F238" s="318"/>
      <c r="G238" s="318"/>
      <c r="H238" s="318"/>
      <c r="I238" s="318"/>
      <c r="J238" s="318"/>
      <c r="K238" s="318"/>
      <c r="L238" s="318"/>
      <c r="M238" s="318"/>
      <c r="N238" s="318"/>
      <c r="O238" s="318"/>
      <c r="P238" s="318"/>
      <c r="Q238" s="318"/>
      <c r="R238" s="318"/>
      <c r="S238" s="318"/>
      <c r="T238" s="318"/>
      <c r="U238" s="318"/>
      <c r="V238" s="318"/>
      <c r="W238" s="318"/>
      <c r="X238" s="318"/>
      <c r="Y238" s="318"/>
      <c r="Z238" s="318"/>
      <c r="AA238" s="318"/>
    </row>
  </sheetData>
  <sheetProtection algorithmName="SHA-512" hashValue="RTHDfTYSn6bCKcVirNa3kR2kGhpPzyU5w6HyNdlTTeOmkQJ3DysZD0WRsT9U8ti4i0To/4O4ZViHHV+XPLXQKw==" saltValue="58+qJ9dAx4pYGZqYVv85Zw==" spinCount="100000" sheet="1" selectLockedCells="1"/>
  <mergeCells count="174">
    <mergeCell ref="C213:AA213"/>
    <mergeCell ref="AC220:AK220"/>
    <mergeCell ref="L32:L33"/>
    <mergeCell ref="S35:T35"/>
    <mergeCell ref="O45:S45"/>
    <mergeCell ref="T45:Y45"/>
    <mergeCell ref="S36:T36"/>
    <mergeCell ref="Y89:Z89"/>
    <mergeCell ref="Q86:T86"/>
    <mergeCell ref="H139:N139"/>
    <mergeCell ref="O139:Z139"/>
    <mergeCell ref="H140:N140"/>
    <mergeCell ref="O140:Z140"/>
    <mergeCell ref="D87:P87"/>
    <mergeCell ref="D86:P86"/>
    <mergeCell ref="Q87:T87"/>
    <mergeCell ref="D46:H46"/>
    <mergeCell ref="I46:N46"/>
    <mergeCell ref="O46:S46"/>
    <mergeCell ref="T46:Y46"/>
    <mergeCell ref="D47:N47"/>
    <mergeCell ref="O47:Q47"/>
    <mergeCell ref="S47:T47"/>
    <mergeCell ref="C210:AA210"/>
    <mergeCell ref="C211:AA211"/>
    <mergeCell ref="C212:AA212"/>
    <mergeCell ref="K187:M188"/>
    <mergeCell ref="N181:P181"/>
    <mergeCell ref="H179:O179"/>
    <mergeCell ref="B139:G140"/>
    <mergeCell ref="C152:AA153"/>
    <mergeCell ref="H141:N141"/>
    <mergeCell ref="O141:Z141"/>
    <mergeCell ref="H142:N142"/>
    <mergeCell ref="O142:Z142"/>
    <mergeCell ref="B141:G143"/>
    <mergeCell ref="H143:N143"/>
    <mergeCell ref="V170:Z170"/>
    <mergeCell ref="O143:Z143"/>
    <mergeCell ref="C209:AA209"/>
    <mergeCell ref="D191:S191"/>
    <mergeCell ref="T191:V191"/>
    <mergeCell ref="D192:S192"/>
    <mergeCell ref="T192:V192"/>
    <mergeCell ref="A238:AA238"/>
    <mergeCell ref="Y179:AA180"/>
    <mergeCell ref="Y181:Z181"/>
    <mergeCell ref="H162:X162"/>
    <mergeCell ref="Q105:AA106"/>
    <mergeCell ref="J234:O236"/>
    <mergeCell ref="P234:S234"/>
    <mergeCell ref="T234:AA234"/>
    <mergeCell ref="P235:S235"/>
    <mergeCell ref="T235:Y235"/>
    <mergeCell ref="Z235:AA235"/>
    <mergeCell ref="P236:S236"/>
    <mergeCell ref="T236:AA236"/>
    <mergeCell ref="C215:AA215"/>
    <mergeCell ref="C217:AA217"/>
    <mergeCell ref="C218:AA218"/>
    <mergeCell ref="J232:O232"/>
    <mergeCell ref="P232:AA232"/>
    <mergeCell ref="J233:O233"/>
    <mergeCell ref="P233:AA233"/>
    <mergeCell ref="N163:P163"/>
    <mergeCell ref="Y162:AA163"/>
    <mergeCell ref="H178:O178"/>
    <mergeCell ref="P178:AA178"/>
    <mergeCell ref="A5:AA6"/>
    <mergeCell ref="C111:N112"/>
    <mergeCell ref="Q111:AA112"/>
    <mergeCell ref="Y102:Z102"/>
    <mergeCell ref="Y100:AA101"/>
    <mergeCell ref="Y120:Z120"/>
    <mergeCell ref="Y118:AA119"/>
    <mergeCell ref="C115:Z116"/>
    <mergeCell ref="Q88:T88"/>
    <mergeCell ref="Y90:Z90"/>
    <mergeCell ref="N36:Q36"/>
    <mergeCell ref="I35:M35"/>
    <mergeCell ref="D45:H45"/>
    <mergeCell ref="E88:P88"/>
    <mergeCell ref="C8:F8"/>
    <mergeCell ref="H8:I8"/>
    <mergeCell ref="K8:L8"/>
    <mergeCell ref="N12:Z12"/>
    <mergeCell ref="N13:Z13"/>
    <mergeCell ref="N11:Z11"/>
    <mergeCell ref="O10:Z10"/>
    <mergeCell ref="C20:AA21"/>
    <mergeCell ref="V47:W47"/>
    <mergeCell ref="C75:AA76"/>
    <mergeCell ref="A229:AA230"/>
    <mergeCell ref="H169:X169"/>
    <mergeCell ref="B83:AA83"/>
    <mergeCell ref="U88:X88"/>
    <mergeCell ref="A3:AA3"/>
    <mergeCell ref="U89:X89"/>
    <mergeCell ref="Q89:T89"/>
    <mergeCell ref="D79:H79"/>
    <mergeCell ref="I79:X79"/>
    <mergeCell ref="I30:X30"/>
    <mergeCell ref="D29:H30"/>
    <mergeCell ref="I29:L29"/>
    <mergeCell ref="M29:X29"/>
    <mergeCell ref="I31:N31"/>
    <mergeCell ref="M32:Q33"/>
    <mergeCell ref="D32:H33"/>
    <mergeCell ref="I32:K33"/>
    <mergeCell ref="D42:H42"/>
    <mergeCell ref="D41:H41"/>
    <mergeCell ref="D40:H40"/>
    <mergeCell ref="I41:X41"/>
    <mergeCell ref="I42:X42"/>
    <mergeCell ref="W31:X31"/>
    <mergeCell ref="R170:U170"/>
    <mergeCell ref="D37:H37"/>
    <mergeCell ref="I37:X37"/>
    <mergeCell ref="U86:X87"/>
    <mergeCell ref="Y86:AA87"/>
    <mergeCell ref="Y88:Z88"/>
    <mergeCell ref="C182:AA184"/>
    <mergeCell ref="Q108:AA109"/>
    <mergeCell ref="Y149:AA150"/>
    <mergeCell ref="B150:X151"/>
    <mergeCell ref="Y174:Z174"/>
    <mergeCell ref="H180:X180"/>
    <mergeCell ref="I45:N45"/>
    <mergeCell ref="Y164:Z164"/>
    <mergeCell ref="Y172:AA173"/>
    <mergeCell ref="Y151:Z151"/>
    <mergeCell ref="N170:P170"/>
    <mergeCell ref="H175:AA177"/>
    <mergeCell ref="H158:AA161"/>
    <mergeCell ref="E89:P89"/>
    <mergeCell ref="C108:N109"/>
    <mergeCell ref="U51:Z51"/>
    <mergeCell ref="C96:AA97"/>
    <mergeCell ref="I40:X40"/>
    <mergeCell ref="D63:O63"/>
    <mergeCell ref="N35:Q35"/>
    <mergeCell ref="A16:AA16"/>
    <mergeCell ref="V36:W36"/>
    <mergeCell ref="S31:V31"/>
    <mergeCell ref="V35:W35"/>
    <mergeCell ref="I36:M36"/>
    <mergeCell ref="C22:AA22"/>
    <mergeCell ref="C24:AA25"/>
    <mergeCell ref="D34:H34"/>
    <mergeCell ref="I34:X34"/>
    <mergeCell ref="D31:H31"/>
    <mergeCell ref="V32:W32"/>
    <mergeCell ref="R33:U33"/>
    <mergeCell ref="O31:R31"/>
    <mergeCell ref="V33:W33"/>
    <mergeCell ref="R32:U32"/>
    <mergeCell ref="D35:H36"/>
    <mergeCell ref="D67:O67"/>
    <mergeCell ref="P67:T67"/>
    <mergeCell ref="U67:Z67"/>
    <mergeCell ref="D68:O68"/>
    <mergeCell ref="P68:T68"/>
    <mergeCell ref="U68:Z68"/>
    <mergeCell ref="P63:T63"/>
    <mergeCell ref="U63:Z63"/>
    <mergeCell ref="D64:O64"/>
    <mergeCell ref="P64:T64"/>
    <mergeCell ref="U64:Z64"/>
    <mergeCell ref="D65:O65"/>
    <mergeCell ref="P65:T65"/>
    <mergeCell ref="U65:Z65"/>
    <mergeCell ref="D66:O66"/>
    <mergeCell ref="P66:T66"/>
    <mergeCell ref="U66:Z66"/>
  </mergeCells>
  <phoneticPr fontId="1"/>
  <conditionalFormatting sqref="B20">
    <cfRule type="containsBlanks" dxfId="77" priority="191">
      <formula>LEN(TRIM(B20))=0</formula>
    </cfRule>
  </conditionalFormatting>
  <conditionalFormatting sqref="B24">
    <cfRule type="containsBlanks" dxfId="76" priority="51">
      <formula>LEN(TRIM(B24))=0</formula>
    </cfRule>
  </conditionalFormatting>
  <conditionalFormatting sqref="B39">
    <cfRule type="containsBlanks" dxfId="75" priority="50">
      <formula>LEN(TRIM(B39))=0</formula>
    </cfRule>
  </conditionalFormatting>
  <conditionalFormatting sqref="B44">
    <cfRule type="containsBlanks" dxfId="74" priority="28">
      <formula>LEN(TRIM(B44))=0</formula>
    </cfRule>
  </conditionalFormatting>
  <conditionalFormatting sqref="B49">
    <cfRule type="containsBlanks" dxfId="73" priority="48">
      <formula>LEN(TRIM(B49))=0</formula>
    </cfRule>
  </conditionalFormatting>
  <conditionalFormatting sqref="B51">
    <cfRule type="containsBlanks" dxfId="72" priority="9">
      <formula>LEN(TRIM(B51))=0</formula>
    </cfRule>
  </conditionalFormatting>
  <conditionalFormatting sqref="B55">
    <cfRule type="containsBlanks" dxfId="71" priority="21">
      <formula>LEN(TRIM(B55))=0</formula>
    </cfRule>
  </conditionalFormatting>
  <conditionalFormatting sqref="B57">
    <cfRule type="containsBlanks" dxfId="70" priority="11">
      <formula>LEN(TRIM(B57))=0</formula>
    </cfRule>
  </conditionalFormatting>
  <conditionalFormatting sqref="B61">
    <cfRule type="containsBlanks" dxfId="69" priority="1">
      <formula>LEN(TRIM(B61))=0</formula>
    </cfRule>
  </conditionalFormatting>
  <conditionalFormatting sqref="B70">
    <cfRule type="containsBlanks" dxfId="68" priority="47">
      <formula>LEN(TRIM(B70))=0</formula>
    </cfRule>
  </conditionalFormatting>
  <conditionalFormatting sqref="B72">
    <cfRule type="containsBlanks" dxfId="67" priority="23">
      <formula>LEN(TRIM(B72))=0</formula>
    </cfRule>
  </conditionalFormatting>
  <conditionalFormatting sqref="B75">
    <cfRule type="containsBlanks" dxfId="66" priority="46">
      <formula>LEN(TRIM(B75))=0</formula>
    </cfRule>
  </conditionalFormatting>
  <conditionalFormatting sqref="B78">
    <cfRule type="containsBlanks" dxfId="65" priority="45">
      <formula>LEN(TRIM(B78))=0</formula>
    </cfRule>
  </conditionalFormatting>
  <conditionalFormatting sqref="B82">
    <cfRule type="containsBlanks" dxfId="64" priority="44">
      <formula>LEN(TRIM(B82))=0</formula>
    </cfRule>
  </conditionalFormatting>
  <conditionalFormatting sqref="B104">
    <cfRule type="containsBlanks" dxfId="63" priority="43">
      <formula>LEN(TRIM(B104))=0</formula>
    </cfRule>
  </conditionalFormatting>
  <conditionalFormatting sqref="B125">
    <cfRule type="containsBlanks" dxfId="62" priority="41">
      <formula>LEN(TRIM(B125))=0</formula>
    </cfRule>
  </conditionalFormatting>
  <conditionalFormatting sqref="B127">
    <cfRule type="containsBlanks" dxfId="61" priority="40">
      <formula>LEN(TRIM(B127))=0</formula>
    </cfRule>
  </conditionalFormatting>
  <conditionalFormatting sqref="B130">
    <cfRule type="containsBlanks" dxfId="60" priority="39">
      <formula>LEN(TRIM(B130))=0</formula>
    </cfRule>
  </conditionalFormatting>
  <conditionalFormatting sqref="B133">
    <cfRule type="containsBlanks" dxfId="59" priority="38">
      <formula>LEN(TRIM(B133))=0</formula>
    </cfRule>
  </conditionalFormatting>
  <conditionalFormatting sqref="B135">
    <cfRule type="containsBlanks" dxfId="58" priority="37">
      <formula>LEN(TRIM(B135))=0</formula>
    </cfRule>
  </conditionalFormatting>
  <conditionalFormatting sqref="B137">
    <cfRule type="containsBlanks" dxfId="57" priority="36">
      <formula>LEN(TRIM(B137))=0</formula>
    </cfRule>
  </conditionalFormatting>
  <conditionalFormatting sqref="B155">
    <cfRule type="containsBlanks" dxfId="56" priority="35">
      <formula>LEN(TRIM(B155))=0</formula>
    </cfRule>
  </conditionalFormatting>
  <conditionalFormatting sqref="B158">
    <cfRule type="containsBlanks" dxfId="55" priority="34">
      <formula>LEN(TRIM(B158))=0</formula>
    </cfRule>
  </conditionalFormatting>
  <conditionalFormatting sqref="B166">
    <cfRule type="containsBlanks" dxfId="54" priority="31">
      <formula>LEN(TRIM(B166))=0</formula>
    </cfRule>
  </conditionalFormatting>
  <conditionalFormatting sqref="B175">
    <cfRule type="containsBlanks" dxfId="53" priority="32">
      <formula>LEN(TRIM(B175))=0</formula>
    </cfRule>
  </conditionalFormatting>
  <conditionalFormatting sqref="C59">
    <cfRule type="containsBlanks" dxfId="52" priority="10">
      <formula>LEN(TRIM(C59))=0</formula>
    </cfRule>
  </conditionalFormatting>
  <conditionalFormatting sqref="C8:F8">
    <cfRule type="containsBlanks" dxfId="51" priority="100">
      <formula>LEN(TRIM(C8))=0</formula>
    </cfRule>
  </conditionalFormatting>
  <conditionalFormatting sqref="D64:Z68">
    <cfRule type="cellIs" dxfId="50" priority="2" operator="equal">
      <formula>""</formula>
    </cfRule>
  </conditionalFormatting>
  <conditionalFormatting sqref="H8">
    <cfRule type="containsBlanks" dxfId="49" priority="102">
      <formula>LEN(TRIM(H8))=0</formula>
    </cfRule>
  </conditionalFormatting>
  <conditionalFormatting sqref="I45:N46">
    <cfRule type="containsBlanks" dxfId="48" priority="27">
      <formula>LEN(TRIM(I45))=0</formula>
    </cfRule>
  </conditionalFormatting>
  <conditionalFormatting sqref="I37:X37">
    <cfRule type="expression" dxfId="47" priority="60">
      <formula>AND($I$34="その他",$I$37="")</formula>
    </cfRule>
  </conditionalFormatting>
  <conditionalFormatting sqref="I61:X62 I69:X69">
    <cfRule type="expression" dxfId="46" priority="7">
      <formula>AND($I$36="その他",#REF!="")</formula>
    </cfRule>
  </conditionalFormatting>
  <conditionalFormatting sqref="I79:X79">
    <cfRule type="containsBlanks" dxfId="45" priority="53">
      <formula>LEN(TRIM(I79))=0</formula>
    </cfRule>
  </conditionalFormatting>
  <conditionalFormatting sqref="K8">
    <cfRule type="containsBlanks" dxfId="44" priority="101">
      <formula>LEN(TRIM(K8))=0</formula>
    </cfRule>
  </conditionalFormatting>
  <conditionalFormatting sqref="N163:P163">
    <cfRule type="containsBlanks" dxfId="43" priority="192">
      <formula>LEN(TRIM(N163))=0</formula>
    </cfRule>
  </conditionalFormatting>
  <conditionalFormatting sqref="N170:P170">
    <cfRule type="containsBlanks" dxfId="42" priority="193">
      <formula>LEN(TRIM(N170))=0</formula>
    </cfRule>
  </conditionalFormatting>
  <conditionalFormatting sqref="N181:P181">
    <cfRule type="containsBlanks" dxfId="41" priority="194">
      <formula>LEN(TRIM(N181))=0</formula>
    </cfRule>
  </conditionalFormatting>
  <conditionalFormatting sqref="N35:Q36">
    <cfRule type="containsBlanks" dxfId="40" priority="86">
      <formula>LEN(TRIM(N35))=0</formula>
    </cfRule>
  </conditionalFormatting>
  <conditionalFormatting sqref="O47">
    <cfRule type="containsBlanks" dxfId="39" priority="25">
      <formula>LEN(TRIM(O47))=0</formula>
    </cfRule>
  </conditionalFormatting>
  <conditionalFormatting sqref="O10:Z10 N11:Z13 M29 I30:I32 I34:X34 I40:X42">
    <cfRule type="containsBlanks" dxfId="38" priority="186">
      <formula>LEN(TRIM(I10))=0</formula>
    </cfRule>
  </conditionalFormatting>
  <conditionalFormatting sqref="O139:Z143">
    <cfRule type="containsBlanks" dxfId="37" priority="22">
      <formula>LEN(TRIM(O139))=0</formula>
    </cfRule>
  </conditionalFormatting>
  <conditionalFormatting sqref="P63:P68">
    <cfRule type="expression" dxfId="36" priority="3">
      <formula>AND($I$36="その他",#REF!="")</formula>
    </cfRule>
  </conditionalFormatting>
  <conditionalFormatting sqref="P104">
    <cfRule type="containsBlanks" dxfId="35" priority="42">
      <formula>LEN(TRIM(P104))=0</formula>
    </cfRule>
  </conditionalFormatting>
  <conditionalFormatting sqref="P232:AA233">
    <cfRule type="containsBlanks" dxfId="34" priority="63">
      <formula>LEN(TRIM(P232))=0</formula>
    </cfRule>
  </conditionalFormatting>
  <conditionalFormatting sqref="Q87:Q89">
    <cfRule type="containsBlanks" dxfId="33" priority="52">
      <formula>LEN(TRIM(Q87))=0</formula>
    </cfRule>
  </conditionalFormatting>
  <conditionalFormatting sqref="R170:U170">
    <cfRule type="containsBlanks" dxfId="32" priority="58">
      <formula>LEN(TRIM(R170))=0</formula>
    </cfRule>
  </conditionalFormatting>
  <conditionalFormatting sqref="S31">
    <cfRule type="containsBlanks" dxfId="31" priority="110">
      <formula>LEN(TRIM(S31))=0</formula>
    </cfRule>
  </conditionalFormatting>
  <conditionalFormatting sqref="S35:S36 V35:V36">
    <cfRule type="containsBlanks" dxfId="30" priority="87">
      <formula>LEN(TRIM(S35))=0</formula>
    </cfRule>
  </conditionalFormatting>
  <conditionalFormatting sqref="S47 V47">
    <cfRule type="containsBlanks" dxfId="29" priority="24">
      <formula>LEN(TRIM(S47))=0</formula>
    </cfRule>
  </conditionalFormatting>
  <conditionalFormatting sqref="T45:Y46">
    <cfRule type="containsBlanks" dxfId="28" priority="26">
      <formula>LEN(TRIM(T45))=0</formula>
    </cfRule>
  </conditionalFormatting>
  <conditionalFormatting sqref="T234:AA234 T235 Z235 T236:AA236">
    <cfRule type="containsBlanks" dxfId="27" priority="62">
      <formula>LEN(TRIM(T234))=0</formula>
    </cfRule>
  </conditionalFormatting>
  <conditionalFormatting sqref="U63:U68">
    <cfRule type="expression" dxfId="26" priority="4">
      <formula>AND($I$36="その他",#REF!="")</formula>
    </cfRule>
  </conditionalFormatting>
  <conditionalFormatting sqref="U86:X89">
    <cfRule type="expression" dxfId="25" priority="163">
      <formula>$I$31="併用住宅"</formula>
    </cfRule>
  </conditionalFormatting>
  <conditionalFormatting sqref="U88:X88">
    <cfRule type="expression" dxfId="24" priority="167">
      <formula>AND($I$31="併用住宅",$U$88="")</formula>
    </cfRule>
  </conditionalFormatting>
  <conditionalFormatting sqref="U89:X89">
    <cfRule type="expression" dxfId="23" priority="190">
      <formula>AND($I$31="併用住宅",#REF!="")</formula>
    </cfRule>
  </conditionalFormatting>
  <conditionalFormatting sqref="U51:Z51">
    <cfRule type="cellIs" dxfId="22" priority="8" operator="equal">
      <formula>""</formula>
    </cfRule>
  </conditionalFormatting>
  <conditionalFormatting sqref="V32:W32">
    <cfRule type="expression" dxfId="21" priority="174">
      <formula>AND($I$31="併用住宅",$V$32="")</formula>
    </cfRule>
  </conditionalFormatting>
  <conditionalFormatting sqref="V33:W33">
    <cfRule type="expression" dxfId="20" priority="173">
      <formula>AND($I$31="併用住宅",$V$33="")</formula>
    </cfRule>
  </conditionalFormatting>
  <conditionalFormatting sqref="V170:Z170">
    <cfRule type="expression" dxfId="19" priority="55">
      <formula>"$R$158=""その他のこて塗り"""</formula>
    </cfRule>
    <cfRule type="expression" dxfId="18" priority="54">
      <formula>AND($R$170="その他のこて塗り",$V$170="")</formula>
    </cfRule>
  </conditionalFormatting>
  <dataValidations count="19">
    <dataValidation type="list" allowBlank="1" showInputMessage="1" showErrorMessage="1" sqref="I46:N46 T46:Y46" xr:uid="{00000000-0002-0000-0000-000000000000}">
      <formula1>"有,無,"</formula1>
    </dataValidation>
    <dataValidation type="list" allowBlank="1" showInputMessage="1" showErrorMessage="1" sqref="I34:X34"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7:T87"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88:T88" xr:uid="{00000000-0002-0000-0000-000003000000}">
      <formula1>0.3</formula1>
      <formula2>Q87</formula2>
    </dataValidation>
    <dataValidation type="list" allowBlank="1" showInputMessage="1" showErrorMessage="1" sqref="M29:X29"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7:T47" xr:uid="{00000000-0002-0000-0000-000005000000}">
      <formula1>"1,2,3,4,5,6,7,8,9,10,11,12,"</formula1>
    </dataValidation>
    <dataValidation type="list" allowBlank="1" showInputMessage="1" showErrorMessage="1" sqref="K8:L8" xr:uid="{00000000-0002-0000-0000-000006000000}">
      <formula1>"1,2,3,4,5,6,7,8,9,10,11,12,13,14,15,16,17,18,19,20,21,22,23,24,25,26,27,28,29,30,31, "</formula1>
    </dataValidation>
    <dataValidation type="list" allowBlank="1" showInputMessage="1" showErrorMessage="1" sqref="C8:F8 N35:Q36 O47" xr:uid="{00000000-0002-0000-0000-000007000000}">
      <formula1>"2,3,4,5,6,7,8,9,10,"</formula1>
    </dataValidation>
    <dataValidation type="list" allowBlank="1" showInputMessage="1" showErrorMessage="1" sqref="I45:N45 T45:Y45" xr:uid="{00000000-0002-0000-0000-000008000000}">
      <formula1>"要,不要,"</formula1>
    </dataValidation>
    <dataValidation type="list" allowBlank="1" showInputMessage="1" showErrorMessage="1" sqref="V35:W36 V47:W47" xr:uid="{00000000-0002-0000-0000-000009000000}">
      <formula1>"1,2,3,4,5,6,7,8,9,10,11,12,13,14,15,16,17,18,19,20,21,22,23,24,25,26,27,28,29,30,31,"</formula1>
    </dataValidation>
    <dataValidation type="list" allowBlank="1" showInputMessage="1" showErrorMessage="1" sqref="I31:N31" xr:uid="{00000000-0002-0000-0000-00000A000000}">
      <formula1>"増築,改築,修繕,模様替"</formula1>
    </dataValidation>
    <dataValidation type="list" allowBlank="1" showInputMessage="1" showErrorMessage="1" sqref="B20 B137 B24 B39 B75 B49 B72 B78 B82 B104 P104 B125 B127 B130 B133 B135 B175 B155 B158 B166 B44 B70 B55 B57 C59 B51 B61" xr:uid="{00000000-0002-0000-0000-00000B000000}">
      <formula1>"✔,"</formula1>
    </dataValidation>
    <dataValidation type="list" allowBlank="1" showInputMessage="1" showErrorMessage="1" sqref="T234:AA234" xr:uid="{00000000-0002-0000-0000-00000C000000}">
      <formula1>"一級建築士事務所,二級建築士事務所,木造建築士事務所"</formula1>
    </dataValidation>
    <dataValidation type="list" allowBlank="1" showInputMessage="1" showErrorMessage="1" sqref="R170:U170" xr:uid="{00000000-0002-0000-0000-00000D000000}">
      <formula1>"モルタル塗,漆喰塗,土壁塗,そとん壁,じゅらく塗,珪藻土塗,その他のこて塗り"</formula1>
    </dataValidation>
    <dataValidation type="list" allowBlank="1" showInputMessage="1" showErrorMessage="1" sqref="J232:O232" xr:uid="{00000000-0002-0000-0000-00000E000000}">
      <formula1>"工事監理者氏名,工事施工者氏名"</formula1>
    </dataValidation>
    <dataValidation type="whole" allowBlank="1" showInputMessage="1" showErrorMessage="1" error="1以上が補助対象です。整数値以外入力不可です。" sqref="Q89:T89" xr:uid="{00000000-0002-0000-0000-00000F000000}">
      <formula1>1</formula1>
      <formula2>10000</formula2>
    </dataValidation>
    <dataValidation type="list" allowBlank="1" showInputMessage="1" showErrorMessage="1" sqref="AC220:AK225" xr:uid="{00000000-0002-0000-0000-000010000000}">
      <formula1>"はい,いいえ"</formula1>
    </dataValidation>
    <dataValidation type="list" allowBlank="1" showInputMessage="1" showErrorMessage="1" sqref="O143:Z143" xr:uid="{00000000-0002-0000-0000-000011000000}">
      <formula1>"申請者と同じ,申請者と異なる"</formula1>
    </dataValidation>
    <dataValidation type="list" allowBlank="1" showInputMessage="1" showErrorMessage="1" sqref="U51:Z51" xr:uid="{C862C5DC-7DC3-493C-8283-18B66CA068D5}">
      <formula1>"Re NE-ST,ゾーン改修,国省エネ基準改修,その他"</formula1>
    </dataValidation>
  </dataValidations>
  <pageMargins left="0.70866141732283472" right="0.70866141732283472" top="0.35433070866141736" bottom="0.35433070866141736" header="0.31496062992125984" footer="0.31496062992125984"/>
  <pageSetup paperSize="9" orientation="portrait" horizontalDpi="1200" verticalDpi="1200" r:id="rId1"/>
  <rowBreaks count="3" manualBreakCount="3">
    <brk id="73" max="26" man="1"/>
    <brk id="138" max="26" man="1"/>
    <brk id="186"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12245-D34A-471F-95CD-2A1772CC4BD5}">
  <dimension ref="A1:Y67"/>
  <sheetViews>
    <sheetView view="pageBreakPreview" topLeftCell="C1" zoomScaleNormal="100" zoomScaleSheetLayoutView="100" workbookViewId="0">
      <selection activeCell="D59" sqref="D59:F59"/>
    </sheetView>
  </sheetViews>
  <sheetFormatPr defaultColWidth="9" defaultRowHeight="12" x14ac:dyDescent="0.2"/>
  <cols>
    <col min="1" max="1" width="3.6640625" style="285" customWidth="1"/>
    <col min="2" max="2" width="9.77734375" style="285" customWidth="1"/>
    <col min="3" max="3" width="15.33203125" style="285" customWidth="1"/>
    <col min="4" max="4" width="12.77734375" style="285" customWidth="1"/>
    <col min="5" max="5" width="3.33203125" style="285" bestFit="1" customWidth="1"/>
    <col min="6" max="6" width="11.21875" style="285" customWidth="1"/>
    <col min="7" max="7" width="15" style="285" bestFit="1" customWidth="1"/>
    <col min="8" max="8" width="10.6640625" style="285" bestFit="1" customWidth="1"/>
    <col min="9" max="9" width="3.33203125" style="285" bestFit="1" customWidth="1"/>
    <col min="10" max="11" width="13" style="285" bestFit="1" customWidth="1"/>
    <col min="12" max="16" width="9" style="285"/>
    <col min="17" max="17" width="12.33203125" style="285" bestFit="1" customWidth="1"/>
    <col min="18" max="16384" width="9" style="285"/>
  </cols>
  <sheetData>
    <row r="1" spans="1:25" x14ac:dyDescent="0.2">
      <c r="A1" s="292" t="s">
        <v>421</v>
      </c>
      <c r="B1" s="283"/>
      <c r="C1" s="283"/>
      <c r="D1" s="283"/>
      <c r="E1" s="283"/>
      <c r="F1" s="283"/>
      <c r="G1" s="283"/>
      <c r="H1" s="283"/>
      <c r="I1" s="283"/>
      <c r="J1" s="283"/>
      <c r="K1" s="284" t="s">
        <v>422</v>
      </c>
      <c r="L1" s="283"/>
      <c r="M1" s="283"/>
      <c r="N1" s="283"/>
      <c r="O1" s="283"/>
      <c r="P1" s="283"/>
      <c r="Q1" s="283"/>
      <c r="R1" s="283"/>
      <c r="S1" s="283"/>
      <c r="T1" s="283"/>
      <c r="U1" s="283"/>
      <c r="V1" s="283"/>
      <c r="W1" s="283"/>
      <c r="X1" s="283"/>
      <c r="Y1" s="283"/>
    </row>
    <row r="2" spans="1:25" x14ac:dyDescent="0.2">
      <c r="A2" s="283"/>
      <c r="B2" s="283"/>
      <c r="C2" s="283"/>
      <c r="D2" s="283"/>
      <c r="E2" s="283"/>
      <c r="F2" s="283"/>
      <c r="G2" s="283"/>
      <c r="H2" s="283"/>
      <c r="I2" s="283"/>
      <c r="J2" s="283"/>
      <c r="K2" s="283"/>
      <c r="L2" s="283"/>
      <c r="M2" s="283"/>
      <c r="N2" s="283"/>
      <c r="O2" s="283"/>
      <c r="P2" s="283"/>
      <c r="Q2" s="283"/>
      <c r="R2" s="283"/>
      <c r="S2" s="283"/>
      <c r="T2" s="283"/>
      <c r="U2" s="283"/>
      <c r="V2" s="283"/>
      <c r="W2" s="283"/>
      <c r="X2" s="283"/>
      <c r="Y2" s="283"/>
    </row>
    <row r="3" spans="1:25" ht="18.75" customHeight="1" x14ac:dyDescent="0.2">
      <c r="A3" s="458" t="s">
        <v>508</v>
      </c>
      <c r="B3" s="458"/>
      <c r="C3" s="458"/>
      <c r="D3" s="458"/>
      <c r="E3" s="458"/>
      <c r="F3" s="458"/>
      <c r="G3" s="458"/>
      <c r="H3" s="458"/>
      <c r="I3" s="458"/>
      <c r="J3" s="458"/>
      <c r="K3" s="458"/>
      <c r="L3" s="283"/>
      <c r="M3" s="283"/>
      <c r="N3" s="283"/>
      <c r="O3" s="283"/>
      <c r="P3" s="283"/>
      <c r="Q3" s="283"/>
      <c r="R3" s="283"/>
      <c r="S3" s="283"/>
      <c r="T3" s="283"/>
      <c r="U3" s="283"/>
      <c r="V3" s="283"/>
      <c r="W3" s="283"/>
      <c r="X3" s="283"/>
      <c r="Y3" s="283"/>
    </row>
    <row r="4" spans="1:25" x14ac:dyDescent="0.2">
      <c r="A4" s="283"/>
      <c r="B4" s="283"/>
      <c r="C4" s="283"/>
      <c r="D4" s="283"/>
      <c r="E4" s="283"/>
      <c r="F4" s="283"/>
      <c r="G4" s="283"/>
      <c r="H4" s="283"/>
      <c r="I4" s="283"/>
      <c r="J4" s="283"/>
      <c r="K4" s="283"/>
      <c r="L4" s="283"/>
      <c r="M4" s="283"/>
      <c r="N4" s="283"/>
      <c r="O4" s="283"/>
      <c r="P4" s="283"/>
      <c r="Q4" s="283"/>
      <c r="R4" s="283"/>
      <c r="S4" s="283"/>
      <c r="T4" s="283"/>
      <c r="U4" s="283"/>
      <c r="V4" s="283"/>
      <c r="W4" s="283"/>
      <c r="X4" s="283"/>
      <c r="Y4" s="283"/>
    </row>
    <row r="5" spans="1:25" x14ac:dyDescent="0.2">
      <c r="A5" s="283"/>
      <c r="B5" s="283" t="s">
        <v>423</v>
      </c>
      <c r="C5" s="286" t="s">
        <v>480</v>
      </c>
      <c r="D5" s="283"/>
      <c r="E5" s="283"/>
      <c r="F5" s="283"/>
      <c r="G5" s="283"/>
      <c r="H5" s="283"/>
      <c r="I5" s="283"/>
      <c r="J5" s="283"/>
      <c r="K5" s="283"/>
      <c r="L5" s="283"/>
      <c r="M5" s="283"/>
      <c r="N5" s="283"/>
      <c r="O5" s="283"/>
      <c r="P5" s="283"/>
      <c r="Q5" s="283" t="s">
        <v>424</v>
      </c>
      <c r="R5" s="283" t="s">
        <v>425</v>
      </c>
      <c r="S5" s="283"/>
      <c r="T5" s="283"/>
      <c r="U5" s="283"/>
      <c r="V5" s="283"/>
      <c r="W5" s="283"/>
      <c r="X5" s="283"/>
      <c r="Y5" s="283"/>
    </row>
    <row r="6" spans="1:25" x14ac:dyDescent="0.2">
      <c r="A6" s="283"/>
      <c r="B6" s="283" t="s">
        <v>426</v>
      </c>
      <c r="C6" s="286" t="str">
        <f>IF(【様式第６号の２】事業報告書兼チェックシート!U51="","",【様式第６号の２】事業報告書兼チェックシート!U51)</f>
        <v/>
      </c>
      <c r="D6" s="283"/>
      <c r="E6" s="283"/>
      <c r="F6" s="283"/>
      <c r="G6" s="283"/>
      <c r="H6" s="283" t="s">
        <v>427</v>
      </c>
      <c r="I6" s="459" t="str">
        <f>IF(【様式第６号の２】事業報告書兼チェックシート!N12="","",【様式第６号の２】事業報告書兼チェックシート!N12)</f>
        <v/>
      </c>
      <c r="J6" s="459"/>
      <c r="K6" s="459"/>
      <c r="L6" s="283"/>
      <c r="M6" s="283"/>
      <c r="N6" s="283"/>
      <c r="O6" s="283"/>
      <c r="P6" s="283"/>
      <c r="Q6" s="283" t="s">
        <v>428</v>
      </c>
      <c r="R6" s="283" t="s">
        <v>429</v>
      </c>
      <c r="S6" s="283"/>
      <c r="T6" s="283"/>
      <c r="U6" s="283"/>
      <c r="V6" s="283"/>
      <c r="W6" s="283"/>
      <c r="X6" s="283"/>
      <c r="Y6" s="283"/>
    </row>
    <row r="7" spans="1:25" x14ac:dyDescent="0.2">
      <c r="A7" s="283"/>
      <c r="B7" s="283"/>
      <c r="C7" s="283"/>
      <c r="D7" s="283"/>
      <c r="E7" s="283"/>
      <c r="F7" s="283"/>
      <c r="G7" s="283"/>
      <c r="H7" s="283"/>
      <c r="I7" s="283"/>
      <c r="J7" s="283"/>
      <c r="K7" s="283"/>
      <c r="L7" s="283"/>
      <c r="M7" s="283"/>
      <c r="N7" s="283"/>
      <c r="O7" s="283"/>
      <c r="P7" s="283"/>
      <c r="Q7" s="283"/>
      <c r="R7" s="283" t="s">
        <v>430</v>
      </c>
      <c r="S7" s="283"/>
      <c r="T7" s="283"/>
      <c r="U7" s="283"/>
      <c r="V7" s="283"/>
      <c r="W7" s="283"/>
      <c r="X7" s="283"/>
      <c r="Y7" s="283"/>
    </row>
    <row r="8" spans="1:25" x14ac:dyDescent="0.2">
      <c r="A8" s="283"/>
      <c r="B8" s="283" t="s">
        <v>431</v>
      </c>
      <c r="C8" s="283"/>
      <c r="D8" s="283"/>
      <c r="E8" s="283"/>
      <c r="F8" s="283"/>
      <c r="G8" s="283"/>
      <c r="H8" s="283"/>
      <c r="I8" s="283"/>
      <c r="J8" s="283"/>
      <c r="K8" s="283"/>
      <c r="L8" s="283"/>
      <c r="M8" s="283"/>
      <c r="N8" s="283"/>
      <c r="O8" s="283"/>
      <c r="P8" s="283"/>
      <c r="Q8" s="283"/>
      <c r="R8" s="283"/>
      <c r="S8" s="283"/>
      <c r="T8" s="283"/>
      <c r="U8" s="283"/>
      <c r="V8" s="283"/>
      <c r="W8" s="283"/>
      <c r="X8" s="283"/>
      <c r="Y8" s="283"/>
    </row>
    <row r="9" spans="1:25" x14ac:dyDescent="0.2">
      <c r="A9" s="283"/>
      <c r="B9" s="283" t="s">
        <v>432</v>
      </c>
      <c r="C9" s="283"/>
      <c r="D9" s="283"/>
      <c r="E9" s="283"/>
      <c r="F9" s="283"/>
      <c r="G9" s="283"/>
      <c r="H9" s="283"/>
      <c r="I9" s="283"/>
      <c r="J9" s="283"/>
      <c r="K9" s="283"/>
      <c r="L9" s="283"/>
      <c r="M9" s="283"/>
      <c r="N9" s="283"/>
      <c r="O9" s="283"/>
      <c r="P9" s="283"/>
      <c r="Q9" s="283"/>
      <c r="R9" s="283"/>
      <c r="S9" s="283"/>
      <c r="T9" s="283"/>
      <c r="U9" s="283"/>
      <c r="V9" s="283"/>
      <c r="W9" s="283"/>
      <c r="X9" s="283"/>
      <c r="Y9" s="283"/>
    </row>
    <row r="10" spans="1:25" ht="24" customHeight="1" x14ac:dyDescent="0.2">
      <c r="A10" s="283"/>
      <c r="B10" s="287" t="s">
        <v>433</v>
      </c>
      <c r="C10" s="287" t="s">
        <v>434</v>
      </c>
      <c r="D10" s="443" t="s">
        <v>435</v>
      </c>
      <c r="E10" s="443"/>
      <c r="F10" s="287" t="s">
        <v>436</v>
      </c>
      <c r="G10" s="287" t="s">
        <v>437</v>
      </c>
      <c r="H10" s="287" t="s">
        <v>438</v>
      </c>
      <c r="I10" s="287" t="s">
        <v>439</v>
      </c>
      <c r="J10" s="287" t="s">
        <v>440</v>
      </c>
      <c r="K10" s="287" t="s">
        <v>441</v>
      </c>
      <c r="L10" s="283"/>
      <c r="M10" s="283"/>
      <c r="N10" s="283"/>
      <c r="O10" s="283"/>
      <c r="P10" s="283"/>
      <c r="Q10" s="283"/>
      <c r="R10" s="283"/>
      <c r="S10" s="283"/>
      <c r="T10" s="283"/>
      <c r="U10" s="283"/>
      <c r="V10" s="283"/>
      <c r="W10" s="283"/>
      <c r="X10" s="283"/>
      <c r="Y10" s="283"/>
    </row>
    <row r="11" spans="1:25" x14ac:dyDescent="0.2">
      <c r="A11" s="283"/>
      <c r="B11" s="443" t="s">
        <v>442</v>
      </c>
      <c r="C11" s="288"/>
      <c r="D11" s="457"/>
      <c r="E11" s="457"/>
      <c r="F11" s="288"/>
      <c r="G11" s="289" t="e">
        <f>F11/1000/D11</f>
        <v>#DIV/0!</v>
      </c>
      <c r="H11" s="288"/>
      <c r="I11" s="287" t="s">
        <v>439</v>
      </c>
      <c r="J11" s="290" t="b">
        <f>IF(C11=$Q$12,IF(G11&lt;1,"NG",IF(G11&lt;2,3000,IF(G11&lt;3,4000,IF(G11&lt;4,5000,IF(G11&lt;5,7000,8000))))),IF(C11=$Q$13,IF(G11&lt;1,"NG",IF(G11&lt;3,2000,IF(G11&lt;4,3000,IF(G11&lt;5,4000,5000)))),IF(C11=$Q$14,IF(G11&lt;1,"NG",IF(G11&lt;2,1000,IF(G11&lt;3,2000,IF(G11&lt;4,3000,IF(G11&lt;5,4000,5000))))))))</f>
        <v>0</v>
      </c>
      <c r="K11" s="291">
        <f>H11*J11</f>
        <v>0</v>
      </c>
      <c r="L11" s="283"/>
      <c r="M11" s="283"/>
      <c r="N11" s="283"/>
      <c r="O11" s="283"/>
      <c r="P11" s="283"/>
      <c r="Q11" s="283"/>
      <c r="R11" s="283" t="s">
        <v>443</v>
      </c>
      <c r="S11" s="283" t="s">
        <v>444</v>
      </c>
      <c r="T11" s="283" t="s">
        <v>445</v>
      </c>
      <c r="U11" s="283" t="s">
        <v>446</v>
      </c>
      <c r="V11" s="283" t="s">
        <v>447</v>
      </c>
      <c r="W11" s="283"/>
      <c r="X11" s="283"/>
      <c r="Y11" s="283"/>
    </row>
    <row r="12" spans="1:25" x14ac:dyDescent="0.2">
      <c r="A12" s="283"/>
      <c r="B12" s="443"/>
      <c r="C12" s="288"/>
      <c r="D12" s="457"/>
      <c r="E12" s="457"/>
      <c r="F12" s="288"/>
      <c r="G12" s="289" t="e">
        <f t="shared" ref="G12:G19" si="0">F12/1000/D12</f>
        <v>#DIV/0!</v>
      </c>
      <c r="H12" s="288"/>
      <c r="I12" s="287" t="s">
        <v>439</v>
      </c>
      <c r="J12" s="290" t="b">
        <f t="shared" ref="J12:J19" si="1">IF(C12=$Q$12,IF(G12&lt;1,"NG",IF(G12&lt;2,3000,IF(G12&lt;3,4000,IF(G12&lt;4,5000,IF(G12&lt;5,7000,8000))))),IF(C12=$Q$13,IF(G12&lt;1,"NG",IF(G12&lt;3,2000,IF(G12&lt;4,3000,IF(G12&lt;5,4000,5000)))),IF(C12=$Q$14,IF(G12&lt;1,"NG",IF(G12&lt;2,1000,IF(G12&lt;3,2000,IF(G12&lt;4,3000,IF(G12&lt;5,4000,5000))))))))</f>
        <v>0</v>
      </c>
      <c r="K12" s="291">
        <f t="shared" ref="K12:K19" si="2">H12*J12</f>
        <v>0</v>
      </c>
      <c r="L12" s="283"/>
      <c r="M12" s="283"/>
      <c r="N12" s="283"/>
      <c r="O12" s="283"/>
      <c r="P12" s="283"/>
      <c r="Q12" s="283" t="s">
        <v>448</v>
      </c>
      <c r="R12" s="283">
        <v>3000</v>
      </c>
      <c r="S12" s="283">
        <v>4000</v>
      </c>
      <c r="T12" s="283">
        <v>5000</v>
      </c>
      <c r="U12" s="283">
        <v>7000</v>
      </c>
      <c r="V12" s="283">
        <v>8000</v>
      </c>
      <c r="W12" s="283"/>
      <c r="X12" s="283"/>
      <c r="Y12" s="283"/>
    </row>
    <row r="13" spans="1:25" x14ac:dyDescent="0.2">
      <c r="A13" s="283"/>
      <c r="B13" s="443"/>
      <c r="C13" s="288"/>
      <c r="D13" s="457"/>
      <c r="E13" s="457"/>
      <c r="F13" s="288"/>
      <c r="G13" s="289" t="e">
        <f t="shared" si="0"/>
        <v>#DIV/0!</v>
      </c>
      <c r="H13" s="288"/>
      <c r="I13" s="287" t="s">
        <v>439</v>
      </c>
      <c r="J13" s="290" t="b">
        <f t="shared" si="1"/>
        <v>0</v>
      </c>
      <c r="K13" s="291">
        <f t="shared" si="2"/>
        <v>0</v>
      </c>
      <c r="L13" s="283"/>
      <c r="M13" s="283"/>
      <c r="N13" s="283"/>
      <c r="O13" s="283"/>
      <c r="P13" s="283"/>
      <c r="Q13" s="283" t="s">
        <v>449</v>
      </c>
      <c r="R13" s="283">
        <v>2000</v>
      </c>
      <c r="S13" s="283">
        <v>2000</v>
      </c>
      <c r="T13" s="283">
        <v>3000</v>
      </c>
      <c r="U13" s="283">
        <v>4000</v>
      </c>
      <c r="V13" s="283">
        <v>5000</v>
      </c>
      <c r="W13" s="283"/>
      <c r="X13" s="283"/>
      <c r="Y13" s="283"/>
    </row>
    <row r="14" spans="1:25" x14ac:dyDescent="0.2">
      <c r="A14" s="283"/>
      <c r="B14" s="443" t="s">
        <v>450</v>
      </c>
      <c r="C14" s="288"/>
      <c r="D14" s="457"/>
      <c r="E14" s="457"/>
      <c r="F14" s="288"/>
      <c r="G14" s="289" t="e">
        <f t="shared" si="0"/>
        <v>#DIV/0!</v>
      </c>
      <c r="H14" s="288"/>
      <c r="I14" s="287" t="s">
        <v>439</v>
      </c>
      <c r="J14" s="290" t="b">
        <f t="shared" si="1"/>
        <v>0</v>
      </c>
      <c r="K14" s="291">
        <f t="shared" si="2"/>
        <v>0</v>
      </c>
      <c r="L14" s="283"/>
      <c r="M14" s="283"/>
      <c r="N14" s="283"/>
      <c r="O14" s="283"/>
      <c r="P14" s="283"/>
      <c r="Q14" s="283" t="s">
        <v>451</v>
      </c>
      <c r="R14" s="283">
        <v>1000</v>
      </c>
      <c r="S14" s="283">
        <v>2000</v>
      </c>
      <c r="T14" s="283">
        <v>3000</v>
      </c>
      <c r="U14" s="283">
        <v>4000</v>
      </c>
      <c r="V14" s="283">
        <v>5000</v>
      </c>
      <c r="W14" s="283"/>
      <c r="X14" s="283"/>
      <c r="Y14" s="283"/>
    </row>
    <row r="15" spans="1:25" x14ac:dyDescent="0.2">
      <c r="A15" s="283"/>
      <c r="B15" s="443"/>
      <c r="C15" s="288"/>
      <c r="D15" s="457"/>
      <c r="E15" s="457"/>
      <c r="F15" s="288"/>
      <c r="G15" s="289" t="e">
        <f t="shared" si="0"/>
        <v>#DIV/0!</v>
      </c>
      <c r="H15" s="288"/>
      <c r="I15" s="287" t="s">
        <v>439</v>
      </c>
      <c r="J15" s="290" t="b">
        <f t="shared" si="1"/>
        <v>0</v>
      </c>
      <c r="K15" s="291">
        <f t="shared" si="2"/>
        <v>0</v>
      </c>
      <c r="L15" s="283"/>
      <c r="M15" s="283"/>
      <c r="N15" s="283"/>
      <c r="O15" s="283"/>
      <c r="P15" s="283"/>
      <c r="Q15" s="283"/>
      <c r="R15" s="283"/>
      <c r="S15" s="283"/>
      <c r="T15" s="283"/>
      <c r="U15" s="283"/>
      <c r="V15" s="283"/>
      <c r="W15" s="283"/>
      <c r="X15" s="283"/>
      <c r="Y15" s="283"/>
    </row>
    <row r="16" spans="1:25" x14ac:dyDescent="0.2">
      <c r="A16" s="283"/>
      <c r="B16" s="443"/>
      <c r="C16" s="288"/>
      <c r="D16" s="457"/>
      <c r="E16" s="457"/>
      <c r="F16" s="288"/>
      <c r="G16" s="289" t="e">
        <f t="shared" si="0"/>
        <v>#DIV/0!</v>
      </c>
      <c r="H16" s="288"/>
      <c r="I16" s="287" t="s">
        <v>439</v>
      </c>
      <c r="J16" s="290" t="b">
        <f t="shared" si="1"/>
        <v>0</v>
      </c>
      <c r="K16" s="291">
        <f t="shared" si="2"/>
        <v>0</v>
      </c>
      <c r="L16" s="283"/>
      <c r="M16" s="283"/>
      <c r="N16" s="283"/>
      <c r="O16" s="283"/>
      <c r="P16" s="283"/>
      <c r="Q16" s="283"/>
      <c r="R16" s="283"/>
      <c r="S16" s="283"/>
      <c r="T16" s="283"/>
      <c r="U16" s="283"/>
      <c r="V16" s="283"/>
      <c r="W16" s="283"/>
      <c r="X16" s="283"/>
      <c r="Y16" s="283"/>
    </row>
    <row r="17" spans="1:25" x14ac:dyDescent="0.2">
      <c r="A17" s="283"/>
      <c r="B17" s="443" t="s">
        <v>452</v>
      </c>
      <c r="C17" s="288"/>
      <c r="D17" s="457"/>
      <c r="E17" s="457"/>
      <c r="F17" s="288"/>
      <c r="G17" s="289" t="e">
        <f t="shared" si="0"/>
        <v>#DIV/0!</v>
      </c>
      <c r="H17" s="288"/>
      <c r="I17" s="287" t="s">
        <v>439</v>
      </c>
      <c r="J17" s="290" t="b">
        <f t="shared" si="1"/>
        <v>0</v>
      </c>
      <c r="K17" s="291">
        <f t="shared" si="2"/>
        <v>0</v>
      </c>
      <c r="L17" s="283"/>
      <c r="M17" s="283"/>
      <c r="N17" s="283"/>
      <c r="O17" s="283"/>
      <c r="P17" s="283"/>
      <c r="Q17" s="283"/>
      <c r="R17" s="283"/>
      <c r="S17" s="283"/>
      <c r="T17" s="283"/>
      <c r="U17" s="283"/>
      <c r="V17" s="283"/>
      <c r="W17" s="283"/>
      <c r="X17" s="283"/>
      <c r="Y17" s="283"/>
    </row>
    <row r="18" spans="1:25" x14ac:dyDescent="0.2">
      <c r="A18" s="283"/>
      <c r="B18" s="443"/>
      <c r="C18" s="288"/>
      <c r="D18" s="457"/>
      <c r="E18" s="457"/>
      <c r="F18" s="288"/>
      <c r="G18" s="289" t="e">
        <f t="shared" si="0"/>
        <v>#DIV/0!</v>
      </c>
      <c r="H18" s="288"/>
      <c r="I18" s="287" t="s">
        <v>439</v>
      </c>
      <c r="J18" s="290" t="b">
        <f t="shared" si="1"/>
        <v>0</v>
      </c>
      <c r="K18" s="291">
        <f t="shared" si="2"/>
        <v>0</v>
      </c>
      <c r="L18" s="283"/>
      <c r="M18" s="283"/>
      <c r="N18" s="283"/>
      <c r="O18" s="283"/>
      <c r="P18" s="283"/>
      <c r="Q18" s="283"/>
      <c r="R18" s="283"/>
      <c r="S18" s="283"/>
      <c r="T18" s="283"/>
      <c r="U18" s="283"/>
      <c r="V18" s="283"/>
      <c r="W18" s="283"/>
      <c r="X18" s="283"/>
      <c r="Y18" s="283"/>
    </row>
    <row r="19" spans="1:25" x14ac:dyDescent="0.2">
      <c r="A19" s="283"/>
      <c r="B19" s="443"/>
      <c r="C19" s="288"/>
      <c r="D19" s="457"/>
      <c r="E19" s="457"/>
      <c r="F19" s="288"/>
      <c r="G19" s="289" t="e">
        <f t="shared" si="0"/>
        <v>#DIV/0!</v>
      </c>
      <c r="H19" s="288"/>
      <c r="I19" s="287" t="s">
        <v>439</v>
      </c>
      <c r="J19" s="290" t="b">
        <f t="shared" si="1"/>
        <v>0</v>
      </c>
      <c r="K19" s="291">
        <f t="shared" si="2"/>
        <v>0</v>
      </c>
      <c r="L19" s="283"/>
      <c r="M19" s="283"/>
      <c r="N19" s="283"/>
      <c r="O19" s="283"/>
      <c r="P19" s="283"/>
      <c r="Q19" s="283"/>
      <c r="R19" s="283"/>
      <c r="S19" s="283"/>
      <c r="T19" s="283"/>
      <c r="U19" s="283"/>
      <c r="V19" s="283"/>
      <c r="W19" s="283"/>
      <c r="X19" s="283"/>
      <c r="Y19" s="283"/>
    </row>
    <row r="20" spans="1:25" x14ac:dyDescent="0.2">
      <c r="A20" s="283"/>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row>
    <row r="21" spans="1:25" x14ac:dyDescent="0.2">
      <c r="A21" s="283"/>
      <c r="B21" s="283" t="s">
        <v>453</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row>
    <row r="22" spans="1:25" x14ac:dyDescent="0.2">
      <c r="A22" s="283"/>
      <c r="B22" s="452" t="s">
        <v>454</v>
      </c>
      <c r="C22" s="441" t="s">
        <v>455</v>
      </c>
      <c r="D22" s="454" t="s">
        <v>456</v>
      </c>
      <c r="E22" s="455"/>
      <c r="F22" s="456"/>
      <c r="G22" s="441" t="s">
        <v>457</v>
      </c>
      <c r="H22" s="441" t="s">
        <v>458</v>
      </c>
      <c r="I22" s="441" t="s">
        <v>439</v>
      </c>
      <c r="J22" s="441" t="s">
        <v>440</v>
      </c>
      <c r="K22" s="443" t="s">
        <v>459</v>
      </c>
      <c r="L22" s="283"/>
      <c r="M22" s="283"/>
      <c r="N22" s="283"/>
      <c r="O22" s="283"/>
      <c r="P22" s="283"/>
      <c r="Q22" s="283"/>
      <c r="R22" s="283"/>
      <c r="S22" s="283"/>
      <c r="T22" s="283"/>
      <c r="U22" s="283"/>
      <c r="V22" s="283"/>
      <c r="W22" s="283"/>
      <c r="X22" s="283"/>
      <c r="Y22" s="283"/>
    </row>
    <row r="23" spans="1:25" x14ac:dyDescent="0.2">
      <c r="A23" s="283"/>
      <c r="B23" s="453"/>
      <c r="C23" s="442"/>
      <c r="D23" s="287" t="s">
        <v>460</v>
      </c>
      <c r="E23" s="287" t="s">
        <v>439</v>
      </c>
      <c r="F23" s="287" t="s">
        <v>461</v>
      </c>
      <c r="G23" s="442"/>
      <c r="H23" s="442"/>
      <c r="I23" s="442"/>
      <c r="J23" s="442"/>
      <c r="K23" s="443"/>
      <c r="L23" s="283"/>
      <c r="M23" s="283"/>
      <c r="N23" s="283"/>
      <c r="O23" s="283"/>
      <c r="P23" s="283"/>
      <c r="Q23" s="283"/>
      <c r="R23" s="283" t="s">
        <v>462</v>
      </c>
      <c r="S23" s="283" t="s">
        <v>463</v>
      </c>
      <c r="T23" s="283" t="s">
        <v>464</v>
      </c>
      <c r="U23" s="283" t="s">
        <v>465</v>
      </c>
      <c r="V23" s="283"/>
      <c r="W23" s="283"/>
      <c r="X23" s="283"/>
      <c r="Y23" s="283"/>
    </row>
    <row r="24" spans="1:25" x14ac:dyDescent="0.2">
      <c r="A24" s="283"/>
      <c r="B24" s="288"/>
      <c r="C24" s="288"/>
      <c r="D24" s="288"/>
      <c r="E24" s="287" t="s">
        <v>439</v>
      </c>
      <c r="F24" s="288"/>
      <c r="G24" s="288"/>
      <c r="H24" s="286">
        <f>D24/1000*F24/1000</f>
        <v>0</v>
      </c>
      <c r="I24" s="287" t="s">
        <v>439</v>
      </c>
      <c r="J24" s="290">
        <f>IF(G24="",0,(IF(C24=$Q$24,IF(G24&gt;2.33,"NG",IF(G24&gt;1.9,40000,IF(G24&gt;1.6,50000,IF(G24&gt;1.3,55000,60000)))),IF(C24=$Q$25,IF(G24&gt;2.33,0,30000),IF(C24=$Q$26,IF(G24&gt;2.33,0,50000))))))</f>
        <v>0</v>
      </c>
      <c r="K24" s="291">
        <f t="shared" ref="K24:K47" si="3">H24*J24</f>
        <v>0</v>
      </c>
      <c r="L24" s="283"/>
      <c r="M24" s="283"/>
      <c r="N24" s="283"/>
      <c r="O24" s="283"/>
      <c r="P24" s="283"/>
      <c r="Q24" s="283" t="s">
        <v>466</v>
      </c>
      <c r="R24" s="283">
        <v>40000</v>
      </c>
      <c r="S24" s="283">
        <v>50000</v>
      </c>
      <c r="T24" s="283">
        <v>55000</v>
      </c>
      <c r="U24" s="283">
        <v>60000</v>
      </c>
      <c r="V24" s="283"/>
      <c r="W24" s="283"/>
      <c r="X24" s="283"/>
      <c r="Y24" s="283"/>
    </row>
    <row r="25" spans="1:25" x14ac:dyDescent="0.2">
      <c r="A25" s="283"/>
      <c r="B25" s="288"/>
      <c r="C25" s="288"/>
      <c r="D25" s="288"/>
      <c r="E25" s="287" t="s">
        <v>439</v>
      </c>
      <c r="F25" s="288"/>
      <c r="G25" s="288"/>
      <c r="H25" s="286">
        <f t="shared" ref="H25:H47" si="4">D25/1000*F25/1000</f>
        <v>0</v>
      </c>
      <c r="I25" s="287" t="s">
        <v>439</v>
      </c>
      <c r="J25" s="290">
        <f>IF(G25="",0,(IF(C25=$Q$24,IF(G25&gt;2.33,"NG",IF(G25&gt;1.9,40000,IF(G25&gt;1.6,50000,IF(G25&gt;1.3,55000,60000)))),IF(C25=$Q$25,IF(G25&gt;2.33,0,30000),IF(C25=$Q$26,IF(G25&gt;2.33,0,50000))))))</f>
        <v>0</v>
      </c>
      <c r="K25" s="291">
        <f t="shared" si="3"/>
        <v>0</v>
      </c>
      <c r="L25" s="283"/>
      <c r="M25" s="283"/>
      <c r="N25" s="283"/>
      <c r="O25" s="283"/>
      <c r="P25" s="283"/>
      <c r="Q25" s="283" t="s">
        <v>467</v>
      </c>
      <c r="R25" s="283">
        <v>30000</v>
      </c>
      <c r="S25" s="283"/>
      <c r="T25" s="283"/>
      <c r="U25" s="283"/>
      <c r="V25" s="283"/>
      <c r="W25" s="283"/>
      <c r="X25" s="283"/>
      <c r="Y25" s="283"/>
    </row>
    <row r="26" spans="1:25" x14ac:dyDescent="0.2">
      <c r="A26" s="283"/>
      <c r="B26" s="288"/>
      <c r="C26" s="288"/>
      <c r="D26" s="288"/>
      <c r="E26" s="287" t="s">
        <v>439</v>
      </c>
      <c r="F26" s="288"/>
      <c r="G26" s="288"/>
      <c r="H26" s="286">
        <f t="shared" si="4"/>
        <v>0</v>
      </c>
      <c r="I26" s="287" t="s">
        <v>439</v>
      </c>
      <c r="J26" s="290">
        <f t="shared" ref="J26:J47" si="5">IF(G26="",0,(IF(C26=$Q$24,IF(G26&gt;2.33,"NG",IF(G26&gt;1.9,40000,IF(G26&gt;1.6,50000,IF(G26&gt;1.3,55000,60000)))),IF(C26=$Q$25,IF(G26&gt;2.33,0,30000),IF(C26=$Q$26,IF(G26&gt;2.33,0,50000))))))</f>
        <v>0</v>
      </c>
      <c r="K26" s="291">
        <f t="shared" si="3"/>
        <v>0</v>
      </c>
      <c r="L26" s="283"/>
      <c r="M26" s="283"/>
      <c r="N26" s="283"/>
      <c r="O26" s="283"/>
      <c r="P26" s="283"/>
      <c r="Q26" s="283" t="s">
        <v>468</v>
      </c>
      <c r="R26" s="283">
        <v>50000</v>
      </c>
      <c r="S26" s="283"/>
      <c r="T26" s="283"/>
      <c r="U26" s="283"/>
      <c r="V26" s="283"/>
      <c r="W26" s="283"/>
      <c r="X26" s="283"/>
      <c r="Y26" s="283"/>
    </row>
    <row r="27" spans="1:25" x14ac:dyDescent="0.2">
      <c r="A27" s="283"/>
      <c r="B27" s="288"/>
      <c r="C27" s="288"/>
      <c r="D27" s="288"/>
      <c r="E27" s="287" t="s">
        <v>439</v>
      </c>
      <c r="F27" s="288"/>
      <c r="G27" s="288"/>
      <c r="H27" s="286">
        <f t="shared" si="4"/>
        <v>0</v>
      </c>
      <c r="I27" s="287" t="s">
        <v>439</v>
      </c>
      <c r="J27" s="290">
        <f t="shared" si="5"/>
        <v>0</v>
      </c>
      <c r="K27" s="291">
        <f t="shared" si="3"/>
        <v>0</v>
      </c>
      <c r="L27" s="283"/>
      <c r="M27" s="283"/>
      <c r="N27" s="283"/>
      <c r="O27" s="283"/>
      <c r="P27" s="283"/>
      <c r="Q27" s="283"/>
      <c r="R27" s="283"/>
      <c r="S27" s="283"/>
      <c r="T27" s="283"/>
      <c r="U27" s="283"/>
      <c r="V27" s="283"/>
      <c r="W27" s="283"/>
      <c r="X27" s="283"/>
      <c r="Y27" s="283"/>
    </row>
    <row r="28" spans="1:25" x14ac:dyDescent="0.2">
      <c r="A28" s="283"/>
      <c r="B28" s="288"/>
      <c r="C28" s="288"/>
      <c r="D28" s="288"/>
      <c r="E28" s="287" t="s">
        <v>439</v>
      </c>
      <c r="F28" s="288"/>
      <c r="G28" s="288"/>
      <c r="H28" s="286">
        <f t="shared" si="4"/>
        <v>0</v>
      </c>
      <c r="I28" s="287" t="s">
        <v>439</v>
      </c>
      <c r="J28" s="290">
        <f t="shared" si="5"/>
        <v>0</v>
      </c>
      <c r="K28" s="291">
        <f t="shared" si="3"/>
        <v>0</v>
      </c>
      <c r="L28" s="283"/>
      <c r="M28" s="283"/>
      <c r="N28" s="283"/>
      <c r="O28" s="283"/>
      <c r="P28" s="283"/>
      <c r="Q28" s="283"/>
      <c r="R28" s="283"/>
      <c r="S28" s="283"/>
      <c r="T28" s="283"/>
      <c r="U28" s="283"/>
      <c r="V28" s="283"/>
      <c r="W28" s="283"/>
      <c r="X28" s="283"/>
      <c r="Y28" s="283"/>
    </row>
    <row r="29" spans="1:25" x14ac:dyDescent="0.2">
      <c r="A29" s="283"/>
      <c r="B29" s="288"/>
      <c r="C29" s="288"/>
      <c r="D29" s="288"/>
      <c r="E29" s="287" t="s">
        <v>439</v>
      </c>
      <c r="F29" s="288"/>
      <c r="G29" s="288"/>
      <c r="H29" s="286">
        <f t="shared" si="4"/>
        <v>0</v>
      </c>
      <c r="I29" s="287" t="s">
        <v>439</v>
      </c>
      <c r="J29" s="290">
        <f t="shared" si="5"/>
        <v>0</v>
      </c>
      <c r="K29" s="291">
        <f t="shared" si="3"/>
        <v>0</v>
      </c>
      <c r="L29" s="283"/>
      <c r="M29" s="283"/>
      <c r="N29" s="283"/>
      <c r="O29" s="283"/>
      <c r="P29" s="283"/>
      <c r="Q29" s="283"/>
      <c r="R29" s="283"/>
      <c r="S29" s="283"/>
      <c r="T29" s="283"/>
      <c r="U29" s="283"/>
      <c r="V29" s="283"/>
      <c r="W29" s="283"/>
      <c r="X29" s="283"/>
      <c r="Y29" s="283"/>
    </row>
    <row r="30" spans="1:25" x14ac:dyDescent="0.2">
      <c r="A30" s="283"/>
      <c r="B30" s="288"/>
      <c r="C30" s="288"/>
      <c r="D30" s="288"/>
      <c r="E30" s="287" t="s">
        <v>439</v>
      </c>
      <c r="F30" s="288"/>
      <c r="G30" s="288"/>
      <c r="H30" s="286">
        <f t="shared" si="4"/>
        <v>0</v>
      </c>
      <c r="I30" s="287" t="s">
        <v>439</v>
      </c>
      <c r="J30" s="290">
        <f t="shared" si="5"/>
        <v>0</v>
      </c>
      <c r="K30" s="291">
        <f t="shared" si="3"/>
        <v>0</v>
      </c>
      <c r="L30" s="283"/>
      <c r="M30" s="283"/>
      <c r="N30" s="283"/>
      <c r="O30" s="283"/>
      <c r="P30" s="283"/>
      <c r="Q30" s="283"/>
      <c r="R30" s="283"/>
      <c r="S30" s="283"/>
      <c r="T30" s="283"/>
      <c r="U30" s="283"/>
      <c r="V30" s="283"/>
      <c r="W30" s="283"/>
      <c r="X30" s="283"/>
      <c r="Y30" s="283"/>
    </row>
    <row r="31" spans="1:25" x14ac:dyDescent="0.2">
      <c r="A31" s="283"/>
      <c r="B31" s="288"/>
      <c r="C31" s="288"/>
      <c r="D31" s="288"/>
      <c r="E31" s="287" t="s">
        <v>439</v>
      </c>
      <c r="F31" s="288"/>
      <c r="G31" s="288"/>
      <c r="H31" s="286">
        <f t="shared" si="4"/>
        <v>0</v>
      </c>
      <c r="I31" s="287" t="s">
        <v>439</v>
      </c>
      <c r="J31" s="290">
        <f t="shared" si="5"/>
        <v>0</v>
      </c>
      <c r="K31" s="291">
        <f t="shared" si="3"/>
        <v>0</v>
      </c>
      <c r="L31" s="283"/>
      <c r="M31" s="283"/>
      <c r="N31" s="283"/>
      <c r="O31" s="283"/>
      <c r="P31" s="283"/>
      <c r="Q31" s="283"/>
      <c r="R31" s="283"/>
      <c r="S31" s="283"/>
      <c r="T31" s="283"/>
      <c r="U31" s="283"/>
      <c r="V31" s="283"/>
      <c r="W31" s="283"/>
      <c r="X31" s="283"/>
      <c r="Y31" s="283"/>
    </row>
    <row r="32" spans="1:25" x14ac:dyDescent="0.2">
      <c r="A32" s="283"/>
      <c r="B32" s="288"/>
      <c r="C32" s="288"/>
      <c r="D32" s="288"/>
      <c r="E32" s="287" t="s">
        <v>439</v>
      </c>
      <c r="F32" s="288"/>
      <c r="G32" s="288"/>
      <c r="H32" s="286">
        <f t="shared" si="4"/>
        <v>0</v>
      </c>
      <c r="I32" s="287" t="s">
        <v>439</v>
      </c>
      <c r="J32" s="290">
        <f t="shared" si="5"/>
        <v>0</v>
      </c>
      <c r="K32" s="291">
        <f t="shared" si="3"/>
        <v>0</v>
      </c>
      <c r="L32" s="283"/>
      <c r="M32" s="283"/>
      <c r="N32" s="283"/>
      <c r="O32" s="283"/>
      <c r="P32" s="283"/>
      <c r="Q32" s="283"/>
      <c r="R32" s="283"/>
      <c r="S32" s="283"/>
      <c r="T32" s="283"/>
      <c r="U32" s="283"/>
      <c r="V32" s="283"/>
      <c r="W32" s="283"/>
      <c r="X32" s="283"/>
    </row>
    <row r="33" spans="1:24" x14ac:dyDescent="0.2">
      <c r="A33" s="283"/>
      <c r="B33" s="288"/>
      <c r="C33" s="288"/>
      <c r="D33" s="288"/>
      <c r="E33" s="287" t="s">
        <v>439</v>
      </c>
      <c r="F33" s="288"/>
      <c r="G33" s="288"/>
      <c r="H33" s="286">
        <f t="shared" si="4"/>
        <v>0</v>
      </c>
      <c r="I33" s="287" t="s">
        <v>439</v>
      </c>
      <c r="J33" s="290">
        <f t="shared" si="5"/>
        <v>0</v>
      </c>
      <c r="K33" s="291">
        <f t="shared" si="3"/>
        <v>0</v>
      </c>
      <c r="L33" s="283"/>
      <c r="M33" s="283"/>
      <c r="N33" s="283"/>
      <c r="O33" s="283"/>
      <c r="P33" s="283"/>
      <c r="Q33" s="283"/>
      <c r="R33" s="283"/>
      <c r="S33" s="283"/>
      <c r="T33" s="283"/>
      <c r="U33" s="283"/>
      <c r="V33" s="283"/>
      <c r="W33" s="283"/>
      <c r="X33" s="283"/>
    </row>
    <row r="34" spans="1:24" x14ac:dyDescent="0.2">
      <c r="A34" s="283"/>
      <c r="B34" s="288"/>
      <c r="C34" s="288"/>
      <c r="D34" s="288"/>
      <c r="E34" s="287" t="s">
        <v>439</v>
      </c>
      <c r="F34" s="288"/>
      <c r="G34" s="288"/>
      <c r="H34" s="286">
        <f t="shared" si="4"/>
        <v>0</v>
      </c>
      <c r="I34" s="287" t="s">
        <v>439</v>
      </c>
      <c r="J34" s="290">
        <f t="shared" si="5"/>
        <v>0</v>
      </c>
      <c r="K34" s="291">
        <f t="shared" si="3"/>
        <v>0</v>
      </c>
      <c r="L34" s="283"/>
      <c r="M34" s="283"/>
      <c r="N34" s="283"/>
      <c r="O34" s="283"/>
      <c r="P34" s="283"/>
      <c r="Q34" s="283"/>
      <c r="R34" s="283"/>
      <c r="S34" s="283"/>
      <c r="T34" s="283"/>
      <c r="U34" s="283"/>
      <c r="V34" s="283"/>
      <c r="W34" s="283"/>
      <c r="X34" s="283"/>
    </row>
    <row r="35" spans="1:24" x14ac:dyDescent="0.2">
      <c r="A35" s="283"/>
      <c r="B35" s="288"/>
      <c r="C35" s="288"/>
      <c r="D35" s="288"/>
      <c r="E35" s="287" t="s">
        <v>439</v>
      </c>
      <c r="F35" s="288"/>
      <c r="G35" s="288"/>
      <c r="H35" s="286">
        <f t="shared" si="4"/>
        <v>0</v>
      </c>
      <c r="I35" s="287" t="s">
        <v>439</v>
      </c>
      <c r="J35" s="290">
        <f t="shared" si="5"/>
        <v>0</v>
      </c>
      <c r="K35" s="291">
        <f t="shared" si="3"/>
        <v>0</v>
      </c>
      <c r="L35" s="283"/>
      <c r="M35" s="283"/>
      <c r="N35" s="283"/>
      <c r="O35" s="283"/>
      <c r="P35" s="283"/>
      <c r="Q35" s="283"/>
      <c r="R35" s="283"/>
      <c r="S35" s="283"/>
      <c r="T35" s="283"/>
      <c r="U35" s="283"/>
      <c r="V35" s="283"/>
      <c r="W35" s="283"/>
      <c r="X35" s="283"/>
    </row>
    <row r="36" spans="1:24" x14ac:dyDescent="0.2">
      <c r="A36" s="283"/>
      <c r="B36" s="288"/>
      <c r="C36" s="288"/>
      <c r="D36" s="288"/>
      <c r="E36" s="287" t="s">
        <v>439</v>
      </c>
      <c r="F36" s="288"/>
      <c r="G36" s="288"/>
      <c r="H36" s="286">
        <f t="shared" si="4"/>
        <v>0</v>
      </c>
      <c r="I36" s="287" t="s">
        <v>439</v>
      </c>
      <c r="J36" s="290">
        <f t="shared" si="5"/>
        <v>0</v>
      </c>
      <c r="K36" s="291">
        <f t="shared" si="3"/>
        <v>0</v>
      </c>
      <c r="L36" s="283"/>
      <c r="M36" s="283"/>
      <c r="N36" s="283"/>
      <c r="O36" s="283"/>
      <c r="P36" s="283"/>
      <c r="Q36" s="283"/>
      <c r="R36" s="283"/>
      <c r="S36" s="283"/>
      <c r="T36" s="283"/>
      <c r="U36" s="283"/>
      <c r="V36" s="283"/>
      <c r="W36" s="283"/>
      <c r="X36" s="283"/>
    </row>
    <row r="37" spans="1:24" x14ac:dyDescent="0.2">
      <c r="A37" s="283"/>
      <c r="B37" s="288"/>
      <c r="C37" s="288"/>
      <c r="D37" s="288"/>
      <c r="E37" s="287" t="s">
        <v>439</v>
      </c>
      <c r="F37" s="288"/>
      <c r="G37" s="288"/>
      <c r="H37" s="286">
        <f t="shared" si="4"/>
        <v>0</v>
      </c>
      <c r="I37" s="287" t="s">
        <v>439</v>
      </c>
      <c r="J37" s="290">
        <f t="shared" si="5"/>
        <v>0</v>
      </c>
      <c r="K37" s="291">
        <f t="shared" si="3"/>
        <v>0</v>
      </c>
      <c r="L37" s="283"/>
      <c r="M37" s="283"/>
      <c r="N37" s="283"/>
      <c r="O37" s="283"/>
      <c r="P37" s="283"/>
      <c r="Q37" s="283"/>
      <c r="R37" s="283"/>
      <c r="S37" s="283"/>
      <c r="T37" s="283"/>
      <c r="U37" s="283"/>
      <c r="V37" s="283"/>
      <c r="W37" s="283"/>
      <c r="X37" s="283"/>
    </row>
    <row r="38" spans="1:24" x14ac:dyDescent="0.2">
      <c r="A38" s="283"/>
      <c r="B38" s="288"/>
      <c r="C38" s="288"/>
      <c r="D38" s="288"/>
      <c r="E38" s="287" t="s">
        <v>439</v>
      </c>
      <c r="F38" s="288"/>
      <c r="G38" s="288"/>
      <c r="H38" s="286">
        <f t="shared" si="4"/>
        <v>0</v>
      </c>
      <c r="I38" s="287" t="s">
        <v>439</v>
      </c>
      <c r="J38" s="290">
        <f t="shared" si="5"/>
        <v>0</v>
      </c>
      <c r="K38" s="291">
        <f t="shared" si="3"/>
        <v>0</v>
      </c>
      <c r="L38" s="283"/>
      <c r="M38" s="283"/>
      <c r="N38" s="283"/>
      <c r="O38" s="283"/>
      <c r="P38" s="283"/>
      <c r="Q38" s="283"/>
      <c r="R38" s="283"/>
      <c r="S38" s="283"/>
      <c r="T38" s="283"/>
      <c r="U38" s="283"/>
      <c r="V38" s="283"/>
      <c r="W38" s="283"/>
      <c r="X38" s="283"/>
    </row>
    <row r="39" spans="1:24" x14ac:dyDescent="0.2">
      <c r="A39" s="283"/>
      <c r="B39" s="288"/>
      <c r="C39" s="288"/>
      <c r="D39" s="288"/>
      <c r="E39" s="287" t="s">
        <v>439</v>
      </c>
      <c r="F39" s="288"/>
      <c r="G39" s="288"/>
      <c r="H39" s="286">
        <f t="shared" si="4"/>
        <v>0</v>
      </c>
      <c r="I39" s="287" t="s">
        <v>439</v>
      </c>
      <c r="J39" s="290">
        <f t="shared" si="5"/>
        <v>0</v>
      </c>
      <c r="K39" s="291">
        <f t="shared" si="3"/>
        <v>0</v>
      </c>
      <c r="L39" s="283"/>
      <c r="M39" s="283"/>
      <c r="N39" s="283"/>
      <c r="O39" s="283"/>
      <c r="P39" s="283"/>
      <c r="Q39" s="283"/>
      <c r="R39" s="283"/>
      <c r="S39" s="283"/>
      <c r="T39" s="283"/>
      <c r="U39" s="283"/>
      <c r="V39" s="283"/>
      <c r="W39" s="283"/>
      <c r="X39" s="283"/>
    </row>
    <row r="40" spans="1:24" x14ac:dyDescent="0.2">
      <c r="A40" s="283"/>
      <c r="B40" s="288"/>
      <c r="C40" s="288"/>
      <c r="D40" s="288"/>
      <c r="E40" s="287" t="s">
        <v>439</v>
      </c>
      <c r="F40" s="288"/>
      <c r="G40" s="288"/>
      <c r="H40" s="286">
        <f t="shared" si="4"/>
        <v>0</v>
      </c>
      <c r="I40" s="287" t="s">
        <v>439</v>
      </c>
      <c r="J40" s="290">
        <f t="shared" si="5"/>
        <v>0</v>
      </c>
      <c r="K40" s="291">
        <f t="shared" si="3"/>
        <v>0</v>
      </c>
      <c r="L40" s="283"/>
      <c r="M40" s="283"/>
      <c r="N40" s="283"/>
      <c r="O40" s="283"/>
      <c r="P40" s="283"/>
      <c r="Q40" s="283"/>
      <c r="R40" s="283"/>
      <c r="S40" s="283"/>
      <c r="T40" s="283"/>
      <c r="U40" s="283"/>
      <c r="V40" s="283"/>
      <c r="W40" s="283"/>
      <c r="X40" s="283"/>
    </row>
    <row r="41" spans="1:24" x14ac:dyDescent="0.2">
      <c r="A41" s="283"/>
      <c r="B41" s="288"/>
      <c r="C41" s="288"/>
      <c r="D41" s="288"/>
      <c r="E41" s="287" t="s">
        <v>439</v>
      </c>
      <c r="F41" s="288"/>
      <c r="G41" s="288"/>
      <c r="H41" s="286">
        <f t="shared" si="4"/>
        <v>0</v>
      </c>
      <c r="I41" s="287" t="s">
        <v>439</v>
      </c>
      <c r="J41" s="290">
        <f t="shared" si="5"/>
        <v>0</v>
      </c>
      <c r="K41" s="291">
        <f t="shared" si="3"/>
        <v>0</v>
      </c>
      <c r="L41" s="283"/>
      <c r="M41" s="283"/>
      <c r="N41" s="283"/>
      <c r="O41" s="283"/>
      <c r="P41" s="283"/>
      <c r="Q41" s="283"/>
      <c r="R41" s="283"/>
      <c r="S41" s="283"/>
      <c r="T41" s="283"/>
      <c r="U41" s="283"/>
      <c r="V41" s="283"/>
      <c r="W41" s="283"/>
      <c r="X41" s="283"/>
    </row>
    <row r="42" spans="1:24" x14ac:dyDescent="0.2">
      <c r="A42" s="283"/>
      <c r="B42" s="288"/>
      <c r="C42" s="288"/>
      <c r="D42" s="288"/>
      <c r="E42" s="287" t="s">
        <v>439</v>
      </c>
      <c r="F42" s="288"/>
      <c r="G42" s="288"/>
      <c r="H42" s="286">
        <f t="shared" si="4"/>
        <v>0</v>
      </c>
      <c r="I42" s="287" t="s">
        <v>439</v>
      </c>
      <c r="J42" s="290">
        <f t="shared" si="5"/>
        <v>0</v>
      </c>
      <c r="K42" s="291">
        <f t="shared" si="3"/>
        <v>0</v>
      </c>
      <c r="L42" s="283"/>
      <c r="M42" s="283"/>
      <c r="N42" s="283"/>
      <c r="O42" s="283"/>
      <c r="P42" s="283"/>
      <c r="Q42" s="283"/>
      <c r="R42" s="283"/>
      <c r="S42" s="283"/>
      <c r="T42" s="283"/>
      <c r="U42" s="283"/>
      <c r="V42" s="283"/>
      <c r="W42" s="283"/>
      <c r="X42" s="283"/>
    </row>
    <row r="43" spans="1:24" x14ac:dyDescent="0.2">
      <c r="A43" s="283"/>
      <c r="B43" s="288"/>
      <c r="C43" s="288"/>
      <c r="D43" s="288"/>
      <c r="E43" s="287" t="s">
        <v>439</v>
      </c>
      <c r="F43" s="288"/>
      <c r="G43" s="288"/>
      <c r="H43" s="286">
        <f t="shared" si="4"/>
        <v>0</v>
      </c>
      <c r="I43" s="287" t="s">
        <v>439</v>
      </c>
      <c r="J43" s="290">
        <f t="shared" si="5"/>
        <v>0</v>
      </c>
      <c r="K43" s="291">
        <f t="shared" si="3"/>
        <v>0</v>
      </c>
      <c r="L43" s="283"/>
      <c r="M43" s="283"/>
      <c r="N43" s="283"/>
      <c r="O43" s="283"/>
      <c r="P43" s="283"/>
      <c r="Q43" s="283"/>
      <c r="R43" s="283"/>
      <c r="S43" s="283"/>
      <c r="T43" s="283"/>
      <c r="U43" s="283"/>
      <c r="V43" s="283"/>
      <c r="W43" s="283"/>
      <c r="X43" s="283"/>
    </row>
    <row r="44" spans="1:24" x14ac:dyDescent="0.2">
      <c r="A44" s="283"/>
      <c r="B44" s="288"/>
      <c r="C44" s="288"/>
      <c r="D44" s="288"/>
      <c r="E44" s="287" t="s">
        <v>439</v>
      </c>
      <c r="F44" s="288"/>
      <c r="G44" s="288"/>
      <c r="H44" s="286">
        <f t="shared" si="4"/>
        <v>0</v>
      </c>
      <c r="I44" s="287" t="s">
        <v>439</v>
      </c>
      <c r="J44" s="290">
        <f t="shared" si="5"/>
        <v>0</v>
      </c>
      <c r="K44" s="291">
        <f t="shared" si="3"/>
        <v>0</v>
      </c>
      <c r="L44" s="283"/>
      <c r="M44" s="283"/>
      <c r="N44" s="283"/>
      <c r="O44" s="283"/>
      <c r="P44" s="283"/>
      <c r="Q44" s="283"/>
      <c r="R44" s="283"/>
      <c r="S44" s="283"/>
      <c r="T44" s="283"/>
      <c r="U44" s="283"/>
      <c r="V44" s="283"/>
      <c r="W44" s="283"/>
      <c r="X44" s="283"/>
    </row>
    <row r="45" spans="1:24" x14ac:dyDescent="0.2">
      <c r="A45" s="283"/>
      <c r="B45" s="288"/>
      <c r="C45" s="288"/>
      <c r="D45" s="288"/>
      <c r="E45" s="287" t="s">
        <v>439</v>
      </c>
      <c r="F45" s="288"/>
      <c r="G45" s="288"/>
      <c r="H45" s="286">
        <f t="shared" si="4"/>
        <v>0</v>
      </c>
      <c r="I45" s="287" t="s">
        <v>439</v>
      </c>
      <c r="J45" s="290">
        <f t="shared" si="5"/>
        <v>0</v>
      </c>
      <c r="K45" s="291">
        <f t="shared" si="3"/>
        <v>0</v>
      </c>
      <c r="L45" s="283"/>
      <c r="M45" s="283"/>
      <c r="N45" s="283"/>
      <c r="O45" s="283"/>
      <c r="P45" s="283"/>
      <c r="Q45" s="283"/>
      <c r="R45" s="283"/>
      <c r="S45" s="283"/>
      <c r="T45" s="283"/>
      <c r="U45" s="283"/>
      <c r="V45" s="283"/>
      <c r="W45" s="283"/>
      <c r="X45" s="283"/>
    </row>
    <row r="46" spans="1:24" x14ac:dyDescent="0.2">
      <c r="A46" s="283"/>
      <c r="B46" s="288"/>
      <c r="C46" s="288"/>
      <c r="D46" s="288"/>
      <c r="E46" s="287" t="s">
        <v>439</v>
      </c>
      <c r="F46" s="288"/>
      <c r="G46" s="288"/>
      <c r="H46" s="286">
        <f t="shared" si="4"/>
        <v>0</v>
      </c>
      <c r="I46" s="287" t="s">
        <v>439</v>
      </c>
      <c r="J46" s="290">
        <f t="shared" si="5"/>
        <v>0</v>
      </c>
      <c r="K46" s="291">
        <f t="shared" si="3"/>
        <v>0</v>
      </c>
      <c r="L46" s="283"/>
      <c r="M46" s="283"/>
      <c r="N46" s="283"/>
      <c r="O46" s="283"/>
      <c r="P46" s="283"/>
      <c r="Q46" s="283"/>
      <c r="R46" s="283"/>
      <c r="S46" s="283"/>
      <c r="T46" s="283"/>
      <c r="U46" s="283"/>
      <c r="V46" s="283"/>
      <c r="W46" s="283"/>
      <c r="X46" s="283"/>
    </row>
    <row r="47" spans="1:24" x14ac:dyDescent="0.2">
      <c r="A47" s="283"/>
      <c r="B47" s="288"/>
      <c r="C47" s="288"/>
      <c r="D47" s="288"/>
      <c r="E47" s="287" t="s">
        <v>439</v>
      </c>
      <c r="F47" s="288"/>
      <c r="G47" s="288"/>
      <c r="H47" s="286">
        <f t="shared" si="4"/>
        <v>0</v>
      </c>
      <c r="I47" s="287" t="s">
        <v>439</v>
      </c>
      <c r="J47" s="290">
        <f t="shared" si="5"/>
        <v>0</v>
      </c>
      <c r="K47" s="291">
        <f t="shared" si="3"/>
        <v>0</v>
      </c>
      <c r="L47" s="283"/>
      <c r="M47" s="283"/>
      <c r="N47" s="283"/>
      <c r="O47" s="283"/>
      <c r="P47" s="283"/>
      <c r="Q47" s="283"/>
      <c r="R47" s="283"/>
      <c r="S47" s="283"/>
      <c r="T47" s="283"/>
      <c r="U47" s="283"/>
      <c r="V47" s="283"/>
      <c r="W47" s="283"/>
      <c r="X47" s="283"/>
    </row>
    <row r="48" spans="1:24" x14ac:dyDescent="0.2">
      <c r="A48" s="283"/>
      <c r="B48" s="283"/>
      <c r="C48" s="283"/>
      <c r="D48" s="283"/>
      <c r="E48" s="283"/>
      <c r="F48" s="283"/>
      <c r="G48" s="283"/>
      <c r="H48" s="283"/>
      <c r="I48" s="283"/>
      <c r="J48" s="283"/>
      <c r="K48" s="283"/>
      <c r="L48" s="283"/>
      <c r="M48" s="283"/>
      <c r="N48" s="283"/>
      <c r="O48" s="283"/>
      <c r="P48" s="283"/>
      <c r="Q48" s="283"/>
      <c r="R48" s="283"/>
      <c r="S48" s="283"/>
      <c r="T48" s="283"/>
      <c r="U48" s="283"/>
      <c r="V48" s="283"/>
      <c r="W48" s="283"/>
      <c r="X48" s="283"/>
    </row>
    <row r="49" spans="1:25" x14ac:dyDescent="0.2">
      <c r="A49" s="283"/>
      <c r="B49" s="292" t="s">
        <v>469</v>
      </c>
      <c r="C49" s="292"/>
      <c r="D49" s="292"/>
      <c r="E49" s="292"/>
      <c r="F49" s="292"/>
      <c r="G49" s="292"/>
      <c r="H49" s="292"/>
      <c r="I49" s="292"/>
      <c r="J49" s="292"/>
      <c r="K49" s="292"/>
      <c r="L49" s="283"/>
      <c r="M49" s="283"/>
      <c r="N49" s="283"/>
      <c r="O49" s="283"/>
      <c r="P49" s="283"/>
      <c r="Q49" s="283"/>
      <c r="R49" s="283"/>
      <c r="S49" s="283"/>
      <c r="T49" s="283"/>
      <c r="U49" s="283"/>
      <c r="V49" s="283"/>
      <c r="W49" s="283"/>
      <c r="X49" s="283"/>
      <c r="Y49" s="283"/>
    </row>
    <row r="50" spans="1:25" x14ac:dyDescent="0.2">
      <c r="A50" s="283"/>
      <c r="B50" s="444" t="s">
        <v>470</v>
      </c>
      <c r="C50" s="446" t="s">
        <v>426</v>
      </c>
      <c r="D50" s="448" t="s">
        <v>456</v>
      </c>
      <c r="E50" s="449"/>
      <c r="F50" s="450"/>
      <c r="G50" s="446" t="s">
        <v>457</v>
      </c>
      <c r="H50" s="446" t="s">
        <v>458</v>
      </c>
      <c r="I50" s="446" t="s">
        <v>439</v>
      </c>
      <c r="J50" s="446" t="s">
        <v>471</v>
      </c>
      <c r="K50" s="451" t="s">
        <v>459</v>
      </c>
      <c r="L50" s="283"/>
      <c r="M50" s="283"/>
      <c r="N50" s="283"/>
      <c r="O50" s="283"/>
      <c r="P50" s="283"/>
      <c r="Q50" s="283"/>
      <c r="R50" s="283"/>
      <c r="S50" s="283"/>
      <c r="T50" s="283"/>
      <c r="U50" s="283"/>
      <c r="V50" s="283"/>
      <c r="W50" s="283"/>
      <c r="X50" s="283"/>
      <c r="Y50" s="283"/>
    </row>
    <row r="51" spans="1:25" x14ac:dyDescent="0.2">
      <c r="A51" s="283"/>
      <c r="B51" s="445"/>
      <c r="C51" s="447"/>
      <c r="D51" s="293" t="s">
        <v>460</v>
      </c>
      <c r="E51" s="293" t="s">
        <v>439</v>
      </c>
      <c r="F51" s="293" t="s">
        <v>461</v>
      </c>
      <c r="G51" s="447"/>
      <c r="H51" s="447"/>
      <c r="I51" s="447"/>
      <c r="J51" s="447"/>
      <c r="K51" s="451"/>
      <c r="L51" s="283"/>
      <c r="M51" s="283"/>
      <c r="N51" s="283"/>
      <c r="O51" s="283"/>
      <c r="P51" s="283"/>
      <c r="Q51" s="283"/>
      <c r="R51" s="283">
        <v>4.6500000000000004</v>
      </c>
      <c r="S51" s="283"/>
      <c r="T51" s="283"/>
      <c r="U51" s="283"/>
      <c r="V51" s="283"/>
      <c r="W51" s="283"/>
      <c r="X51" s="283"/>
      <c r="Y51" s="283"/>
    </row>
    <row r="52" spans="1:25" x14ac:dyDescent="0.2">
      <c r="A52" s="283"/>
      <c r="B52" s="288"/>
      <c r="C52" s="288"/>
      <c r="D52" s="288"/>
      <c r="E52" s="287" t="s">
        <v>439</v>
      </c>
      <c r="F52" s="288"/>
      <c r="G52" s="288"/>
      <c r="H52" s="286">
        <f>D52/1000*F52/1000</f>
        <v>0</v>
      </c>
      <c r="I52" s="287" t="s">
        <v>439</v>
      </c>
      <c r="J52" s="299"/>
      <c r="K52" s="291">
        <f>IF(G52="",0,(IF(G52&gt;R51,"NG",IF(J52&gt;R52,R52,J52))))</f>
        <v>0</v>
      </c>
      <c r="L52" s="283"/>
      <c r="M52" s="283"/>
      <c r="N52" s="283"/>
      <c r="O52" s="283"/>
      <c r="P52" s="283"/>
      <c r="Q52" s="283" t="s">
        <v>472</v>
      </c>
      <c r="R52" s="283">
        <v>150000</v>
      </c>
      <c r="S52" s="283"/>
      <c r="T52" s="283"/>
      <c r="U52" s="283"/>
      <c r="V52" s="283"/>
      <c r="W52" s="283"/>
      <c r="X52" s="283"/>
      <c r="Y52" s="283"/>
    </row>
    <row r="53" spans="1:25" x14ac:dyDescent="0.2">
      <c r="A53" s="283"/>
      <c r="B53" s="294"/>
      <c r="C53" s="283"/>
      <c r="D53" s="283"/>
      <c r="E53" s="283"/>
      <c r="F53" s="283"/>
      <c r="G53" s="283"/>
      <c r="H53" s="283"/>
      <c r="I53" s="283"/>
      <c r="J53" s="283"/>
      <c r="K53" s="283"/>
      <c r="L53" s="283"/>
      <c r="M53" s="283"/>
      <c r="N53" s="283"/>
      <c r="O53" s="283"/>
      <c r="P53" s="283"/>
      <c r="Q53" s="283" t="s">
        <v>473</v>
      </c>
      <c r="R53" s="283"/>
      <c r="S53" s="283"/>
      <c r="T53" s="283"/>
      <c r="U53" s="283"/>
      <c r="V53" s="283"/>
      <c r="W53" s="283"/>
      <c r="X53" s="283"/>
    </row>
    <row r="54" spans="1:25" ht="24" customHeight="1" x14ac:dyDescent="0.2">
      <c r="A54" s="283"/>
      <c r="B54" s="437" t="s">
        <v>474</v>
      </c>
      <c r="C54" s="438"/>
      <c r="D54" s="439">
        <f>SUM(K11:K19,K24:K47,K52)</f>
        <v>0</v>
      </c>
      <c r="E54" s="439"/>
      <c r="F54" s="439"/>
      <c r="G54" s="283" t="s">
        <v>17</v>
      </c>
      <c r="H54" s="283"/>
      <c r="I54" s="283"/>
      <c r="J54" s="283"/>
      <c r="K54" s="283"/>
      <c r="L54" s="283"/>
      <c r="M54" s="283"/>
      <c r="N54" s="283"/>
      <c r="O54" s="283"/>
      <c r="P54" s="283"/>
      <c r="Q54" s="283"/>
      <c r="R54" s="283"/>
      <c r="S54" s="283"/>
      <c r="T54" s="283"/>
      <c r="U54" s="283"/>
      <c r="V54" s="283"/>
      <c r="W54" s="283"/>
      <c r="X54" s="283"/>
    </row>
    <row r="55" spans="1:25" x14ac:dyDescent="0.2">
      <c r="A55" s="283"/>
      <c r="B55" s="283"/>
      <c r="C55" s="283"/>
      <c r="D55" s="295"/>
      <c r="E55" s="295"/>
      <c r="F55" s="295"/>
      <c r="G55" s="283" t="s">
        <v>475</v>
      </c>
      <c r="H55" s="283"/>
      <c r="I55" s="283"/>
      <c r="J55" s="283"/>
      <c r="K55" s="283"/>
      <c r="L55" s="283"/>
      <c r="M55" s="283"/>
      <c r="N55" s="283"/>
      <c r="O55" s="283"/>
      <c r="P55" s="283"/>
      <c r="Q55" s="283"/>
      <c r="R55" s="283"/>
      <c r="S55" s="283"/>
      <c r="T55" s="283"/>
      <c r="U55" s="283"/>
      <c r="V55" s="283"/>
      <c r="W55" s="283"/>
      <c r="X55" s="283"/>
    </row>
    <row r="56" spans="1:25" x14ac:dyDescent="0.2">
      <c r="A56" s="283"/>
      <c r="B56" s="283"/>
      <c r="C56" s="283"/>
      <c r="D56" s="295"/>
      <c r="E56" s="295"/>
      <c r="F56" s="295"/>
      <c r="G56" s="283"/>
      <c r="H56" s="283"/>
      <c r="I56" s="283"/>
      <c r="J56" s="283"/>
      <c r="K56" s="283"/>
      <c r="L56" s="283"/>
      <c r="M56" s="283"/>
      <c r="N56" s="283"/>
      <c r="O56" s="283"/>
      <c r="P56" s="283"/>
      <c r="Q56" s="283"/>
      <c r="R56" s="283"/>
      <c r="S56" s="283"/>
      <c r="T56" s="283"/>
      <c r="U56" s="283"/>
      <c r="V56" s="283"/>
      <c r="W56" s="283"/>
      <c r="X56" s="283"/>
    </row>
    <row r="57" spans="1:25" ht="24" customHeight="1" x14ac:dyDescent="0.2">
      <c r="A57" s="283"/>
      <c r="B57" s="437" t="s">
        <v>476</v>
      </c>
      <c r="C57" s="437"/>
      <c r="D57" s="440"/>
      <c r="E57" s="440"/>
      <c r="F57" s="440"/>
      <c r="G57" s="283" t="s">
        <v>17</v>
      </c>
      <c r="H57" s="283"/>
      <c r="I57" s="283"/>
      <c r="J57" s="283"/>
      <c r="K57" s="283"/>
      <c r="L57" s="283"/>
      <c r="M57" s="283"/>
      <c r="N57" s="283"/>
      <c r="O57" s="283"/>
      <c r="P57" s="283"/>
      <c r="Q57" s="283"/>
      <c r="R57" s="283"/>
      <c r="S57" s="283"/>
      <c r="T57" s="283"/>
      <c r="U57" s="283"/>
      <c r="V57" s="283"/>
      <c r="W57" s="283"/>
      <c r="X57" s="283"/>
    </row>
    <row r="58" spans="1:25" x14ac:dyDescent="0.2">
      <c r="A58" s="283"/>
      <c r="B58" s="294"/>
      <c r="C58" s="283"/>
      <c r="D58" s="295"/>
      <c r="E58" s="295"/>
      <c r="F58" s="295"/>
      <c r="G58" s="283"/>
      <c r="H58" s="283"/>
      <c r="I58" s="283"/>
      <c r="J58" s="283"/>
      <c r="K58" s="283"/>
      <c r="L58" s="283"/>
      <c r="M58" s="283"/>
      <c r="N58" s="283"/>
      <c r="O58" s="283"/>
      <c r="P58" s="283"/>
      <c r="Q58" s="283"/>
      <c r="R58" s="283"/>
      <c r="S58" s="283"/>
      <c r="T58" s="283"/>
      <c r="U58" s="283"/>
      <c r="V58" s="283"/>
      <c r="W58" s="283"/>
      <c r="X58" s="283"/>
    </row>
    <row r="59" spans="1:25" ht="24" customHeight="1" x14ac:dyDescent="0.2">
      <c r="A59" s="283"/>
      <c r="B59" s="438" t="s">
        <v>477</v>
      </c>
      <c r="C59" s="438"/>
      <c r="D59" s="440"/>
      <c r="E59" s="440"/>
      <c r="F59" s="440"/>
      <c r="G59" s="283" t="s">
        <v>17</v>
      </c>
      <c r="H59" s="283" t="s">
        <v>478</v>
      </c>
      <c r="I59" s="283"/>
      <c r="J59" s="283"/>
      <c r="K59" s="283"/>
      <c r="L59" s="283"/>
      <c r="M59" s="283"/>
      <c r="N59" s="283"/>
      <c r="O59" s="283"/>
      <c r="P59" s="283"/>
      <c r="Q59" s="283"/>
      <c r="R59" s="283"/>
      <c r="S59" s="283"/>
      <c r="T59" s="283"/>
      <c r="U59" s="283"/>
      <c r="V59" s="283"/>
      <c r="W59" s="283"/>
      <c r="X59" s="283"/>
    </row>
    <row r="60" spans="1:25" x14ac:dyDescent="0.2">
      <c r="A60" s="283"/>
      <c r="B60" s="283"/>
      <c r="C60" s="283"/>
      <c r="D60" s="295"/>
      <c r="E60" s="295"/>
      <c r="F60" s="295"/>
      <c r="G60" s="283"/>
      <c r="H60" s="283"/>
      <c r="I60" s="283"/>
      <c r="J60" s="283"/>
      <c r="K60" s="283"/>
      <c r="L60" s="283"/>
      <c r="M60" s="283"/>
      <c r="N60" s="283"/>
      <c r="O60" s="283"/>
      <c r="P60" s="283"/>
      <c r="Q60" s="283"/>
      <c r="R60" s="283"/>
      <c r="S60" s="283"/>
      <c r="T60" s="283"/>
      <c r="U60" s="283"/>
      <c r="V60" s="283"/>
      <c r="W60" s="283"/>
      <c r="X60" s="283"/>
    </row>
    <row r="61" spans="1:25" ht="24" customHeight="1" x14ac:dyDescent="0.2">
      <c r="A61" s="283"/>
      <c r="B61" s="437" t="s">
        <v>479</v>
      </c>
      <c r="C61" s="438"/>
      <c r="D61" s="439" t="str">
        <f>IF(D59="","",(D59+IF(J52&lt;150000,J52,150000)))</f>
        <v/>
      </c>
      <c r="E61" s="439"/>
      <c r="F61" s="439"/>
      <c r="G61" s="283" t="s">
        <v>17</v>
      </c>
      <c r="H61" s="283"/>
      <c r="I61" s="283"/>
      <c r="J61" s="283"/>
      <c r="K61" s="283"/>
      <c r="L61" s="283"/>
      <c r="M61" s="283"/>
      <c r="N61" s="283"/>
      <c r="O61" s="283"/>
      <c r="P61" s="283"/>
      <c r="Q61" s="283"/>
      <c r="R61" s="283"/>
      <c r="S61" s="283"/>
      <c r="T61" s="283"/>
      <c r="U61" s="283"/>
      <c r="V61" s="283"/>
      <c r="W61" s="283"/>
      <c r="X61" s="283"/>
    </row>
    <row r="62" spans="1:25" x14ac:dyDescent="0.2">
      <c r="A62" s="283"/>
      <c r="B62" s="294"/>
      <c r="C62" s="283"/>
      <c r="D62" s="295"/>
      <c r="E62" s="295"/>
      <c r="F62" s="295"/>
      <c r="G62" s="283"/>
      <c r="H62" s="283"/>
      <c r="I62" s="283"/>
      <c r="J62" s="283"/>
      <c r="K62" s="283"/>
      <c r="L62" s="283"/>
      <c r="M62" s="283"/>
      <c r="N62" s="283"/>
      <c r="O62" s="283"/>
      <c r="P62" s="283"/>
      <c r="Q62" s="283"/>
      <c r="R62" s="283"/>
      <c r="S62" s="283"/>
      <c r="T62" s="283"/>
      <c r="U62" s="283"/>
      <c r="V62" s="283"/>
      <c r="W62" s="283"/>
      <c r="X62" s="283"/>
    </row>
    <row r="63" spans="1:25" ht="24" customHeight="1" x14ac:dyDescent="0.2">
      <c r="A63" s="283"/>
      <c r="B63" s="437" t="s">
        <v>441</v>
      </c>
      <c r="C63" s="438"/>
      <c r="D63" s="439">
        <f>MIN(D54,D61)</f>
        <v>0</v>
      </c>
      <c r="E63" s="439"/>
      <c r="F63" s="439"/>
      <c r="G63" s="283" t="s">
        <v>17</v>
      </c>
      <c r="H63" s="283"/>
      <c r="I63" s="283"/>
      <c r="J63" s="283"/>
      <c r="K63" s="283"/>
      <c r="L63" s="283"/>
      <c r="M63" s="283"/>
      <c r="N63" s="283"/>
      <c r="O63" s="283"/>
      <c r="P63" s="283"/>
      <c r="Q63" s="283"/>
      <c r="R63" s="283"/>
      <c r="S63" s="283"/>
      <c r="T63" s="283"/>
      <c r="U63" s="283"/>
      <c r="V63" s="283"/>
      <c r="W63" s="283"/>
      <c r="X63" s="283"/>
    </row>
    <row r="64" spans="1:25" x14ac:dyDescent="0.2">
      <c r="A64" s="283"/>
      <c r="B64" s="283"/>
      <c r="C64" s="283"/>
      <c r="D64" s="283"/>
      <c r="E64" s="283"/>
      <c r="F64" s="283"/>
      <c r="G64" s="283"/>
      <c r="H64" s="283"/>
      <c r="I64" s="283"/>
      <c r="J64" s="283"/>
      <c r="K64" s="283"/>
      <c r="L64" s="283"/>
      <c r="M64" s="283"/>
      <c r="N64" s="283"/>
      <c r="O64" s="283"/>
      <c r="P64" s="283"/>
      <c r="Q64" s="283"/>
      <c r="R64" s="283"/>
      <c r="S64" s="283"/>
      <c r="T64" s="283"/>
      <c r="U64" s="283"/>
      <c r="V64" s="283"/>
      <c r="W64" s="283"/>
      <c r="X64" s="283"/>
    </row>
    <row r="65" spans="1:24" x14ac:dyDescent="0.2">
      <c r="A65" s="283"/>
      <c r="B65" s="294"/>
      <c r="C65" s="283"/>
      <c r="D65" s="283"/>
      <c r="E65" s="283"/>
      <c r="F65" s="283"/>
      <c r="G65" s="283"/>
      <c r="H65" s="283"/>
      <c r="I65" s="283"/>
      <c r="J65" s="283"/>
      <c r="K65" s="283"/>
      <c r="L65" s="283"/>
      <c r="M65" s="283"/>
      <c r="N65" s="283"/>
      <c r="O65" s="283"/>
      <c r="P65" s="283"/>
      <c r="Q65" s="283"/>
      <c r="R65" s="283"/>
      <c r="S65" s="283"/>
      <c r="T65" s="283"/>
      <c r="U65" s="283"/>
      <c r="V65" s="283"/>
      <c r="W65" s="283"/>
      <c r="X65" s="283"/>
    </row>
    <row r="66" spans="1:24" ht="24" customHeight="1" x14ac:dyDescent="0.2">
      <c r="A66" s="283"/>
      <c r="B66" s="437" t="s">
        <v>275</v>
      </c>
      <c r="C66" s="438"/>
      <c r="D66" s="439">
        <f>IF(D63/3&gt;O66,O66,(ROUNDDOWN(D63/3,-3)))</f>
        <v>0</v>
      </c>
      <c r="E66" s="439"/>
      <c r="F66" s="439"/>
      <c r="G66" s="283" t="s">
        <v>17</v>
      </c>
      <c r="H66" s="283"/>
      <c r="I66" s="283"/>
      <c r="J66" s="283"/>
      <c r="K66" s="283"/>
      <c r="L66" s="283"/>
      <c r="M66" s="283" t="str">
        <f>C6</f>
        <v/>
      </c>
      <c r="N66" s="283"/>
      <c r="O66" s="283">
        <f>IF(M66="",0,IF(M66=R7,500000,IF(M66=R6,1000000,IF(M66=R5,1500000))))</f>
        <v>0</v>
      </c>
      <c r="P66" s="283"/>
      <c r="Q66" s="283"/>
      <c r="R66" s="283"/>
      <c r="S66" s="283"/>
      <c r="T66" s="283"/>
      <c r="U66" s="283"/>
      <c r="V66" s="283"/>
      <c r="W66" s="283"/>
      <c r="X66" s="283"/>
    </row>
    <row r="67" spans="1:24" x14ac:dyDescent="0.2">
      <c r="A67" s="283"/>
      <c r="B67" s="283"/>
      <c r="C67" s="283"/>
      <c r="D67" s="283"/>
      <c r="E67" s="283"/>
      <c r="F67" s="283"/>
      <c r="G67" s="283"/>
      <c r="H67" s="283"/>
      <c r="I67" s="283"/>
      <c r="J67" s="283"/>
      <c r="K67" s="283"/>
      <c r="L67" s="283"/>
      <c r="M67" s="283"/>
      <c r="N67" s="283"/>
      <c r="O67" s="283"/>
      <c r="P67" s="283"/>
      <c r="Q67" s="283"/>
      <c r="R67" s="283"/>
      <c r="S67" s="283"/>
      <c r="T67" s="283"/>
      <c r="U67" s="283"/>
      <c r="V67" s="283"/>
      <c r="W67" s="283"/>
      <c r="X67" s="283"/>
    </row>
  </sheetData>
  <sheetProtection algorithmName="SHA-512" hashValue="9TDpCmUIM1DVIwEPsLAISJOXSMND1JVuVoS9TQlqvBGWBzutxW3Bv+4oJ1kJYYUqyHgIvUHAzE5qFK3SvYRycw==" saltValue="WOTjXVabYouvrCDDO7RhAA==" spinCount="100000" sheet="1" objects="1" scenarios="1" selectLockedCells="1"/>
  <mergeCells count="43">
    <mergeCell ref="A3:K3"/>
    <mergeCell ref="I6:K6"/>
    <mergeCell ref="D10:E10"/>
    <mergeCell ref="B11:B13"/>
    <mergeCell ref="D11:E11"/>
    <mergeCell ref="D12:E12"/>
    <mergeCell ref="D13:E13"/>
    <mergeCell ref="B14:B16"/>
    <mergeCell ref="D14:E14"/>
    <mergeCell ref="D15:E15"/>
    <mergeCell ref="D16:E16"/>
    <mergeCell ref="B17:B19"/>
    <mergeCell ref="D17:E17"/>
    <mergeCell ref="D18:E18"/>
    <mergeCell ref="D19:E19"/>
    <mergeCell ref="J22:J23"/>
    <mergeCell ref="K22:K23"/>
    <mergeCell ref="B50:B51"/>
    <mergeCell ref="C50:C51"/>
    <mergeCell ref="D50:F50"/>
    <mergeCell ref="G50:G51"/>
    <mergeCell ref="H50:H51"/>
    <mergeCell ref="I50:I51"/>
    <mergeCell ref="J50:J51"/>
    <mergeCell ref="K50:K51"/>
    <mergeCell ref="B22:B23"/>
    <mergeCell ref="C22:C23"/>
    <mergeCell ref="D22:F22"/>
    <mergeCell ref="G22:G23"/>
    <mergeCell ref="H22:H23"/>
    <mergeCell ref="I22:I23"/>
    <mergeCell ref="B54:C54"/>
    <mergeCell ref="D54:F54"/>
    <mergeCell ref="B57:C57"/>
    <mergeCell ref="D57:F57"/>
    <mergeCell ref="B59:C59"/>
    <mergeCell ref="D59:F59"/>
    <mergeCell ref="B61:C61"/>
    <mergeCell ref="D61:F61"/>
    <mergeCell ref="B63:C63"/>
    <mergeCell ref="D63:F63"/>
    <mergeCell ref="B66:C66"/>
    <mergeCell ref="D66:F66"/>
  </mergeCells>
  <phoneticPr fontId="1"/>
  <dataValidations count="3">
    <dataValidation type="list" allowBlank="1" showInputMessage="1" showErrorMessage="1" sqref="C11:C19" xr:uid="{DA28D5E8-D907-46EB-A010-6806A0EEFB4E}">
      <formula1>$Q$12:$Q$14</formula1>
    </dataValidation>
    <dataValidation type="list" allowBlank="1" showInputMessage="1" showErrorMessage="1" sqref="C52" xr:uid="{CAC05412-36D3-40E6-BB9B-062C5576B3FD}">
      <formula1>$Q$52:$Q$53</formula1>
    </dataValidation>
    <dataValidation type="list" allowBlank="1" showInputMessage="1" showErrorMessage="1" sqref="C24:C47" xr:uid="{9969CA93-BC86-4371-A2A8-025106A4D600}">
      <formula1>$Q$24:$Q$26</formula1>
    </dataValidation>
  </dataValidations>
  <pageMargins left="0.51181102362204722" right="0.51181102362204722" top="0.55118110236220474" bottom="0.55118110236220474" header="0.31496062992125984" footer="0.31496062992125984"/>
  <pageSetup paperSize="9" scale="7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K44"/>
  <sheetViews>
    <sheetView view="pageBreakPreview" topLeftCell="A19" zoomScaleNormal="100" zoomScaleSheetLayoutView="100" workbookViewId="0">
      <selection activeCell="A2" sqref="A2"/>
    </sheetView>
  </sheetViews>
  <sheetFormatPr defaultColWidth="3.109375" defaultRowHeight="18" customHeight="1" x14ac:dyDescent="0.2"/>
  <cols>
    <col min="1" max="26" width="3.109375" style="1"/>
    <col min="27" max="27" width="9.109375" style="17" customWidth="1"/>
    <col min="28" max="16384" width="3.109375" style="1"/>
  </cols>
  <sheetData>
    <row r="1" spans="1:63" ht="15.75" customHeight="1" x14ac:dyDescent="0.2">
      <c r="A1" s="1" t="s">
        <v>495</v>
      </c>
    </row>
    <row r="2" spans="1:63" ht="15.75" customHeight="1" x14ac:dyDescent="0.2">
      <c r="A2" s="269"/>
      <c r="B2" s="269"/>
      <c r="C2" s="269"/>
      <c r="D2" s="269"/>
      <c r="E2" s="269"/>
      <c r="F2" s="269"/>
      <c r="G2" s="269"/>
      <c r="H2" s="269"/>
      <c r="I2" s="269"/>
      <c r="J2" s="269"/>
      <c r="K2" s="269"/>
      <c r="L2" s="269"/>
      <c r="M2" s="269"/>
      <c r="N2" s="269"/>
      <c r="O2" s="270" t="s">
        <v>397</v>
      </c>
      <c r="P2" s="270"/>
      <c r="Q2" s="460">
        <f>IF(【様式第６号の２】事業報告書兼チェックシート!C8="","",【様式第６号の２】事業報告書兼チェックシート!C8)</f>
        <v>7</v>
      </c>
      <c r="R2" s="460"/>
      <c r="S2" s="271" t="s">
        <v>9</v>
      </c>
      <c r="T2" s="460" t="str">
        <f>IF(【様式第６号の２】事業報告書兼チェックシート!H8="","",【様式第６号の２】事業報告書兼チェックシート!H8)</f>
        <v/>
      </c>
      <c r="U2" s="460"/>
      <c r="V2" s="271" t="s">
        <v>359</v>
      </c>
      <c r="W2" s="460" t="str">
        <f>IF(【様式第６号の２】事業報告書兼チェックシート!K8="","",【様式第６号の２】事業報告書兼チェックシート!K8)</f>
        <v/>
      </c>
      <c r="X2" s="460"/>
      <c r="Y2" s="271" t="s">
        <v>8</v>
      </c>
      <c r="Z2" s="271"/>
      <c r="AA2" s="66" t="str">
        <f>IF(A2="令和　年　月　日","←申請日を入力してください。","")</f>
        <v/>
      </c>
      <c r="BK2" s="79" t="s">
        <v>160</v>
      </c>
    </row>
    <row r="3" spans="1:63"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BK3" s="79" t="s">
        <v>168</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13</v>
      </c>
    </row>
    <row r="9" spans="1:63" ht="15.75" customHeight="1" x14ac:dyDescent="0.2">
      <c r="M9" s="1" t="s">
        <v>12</v>
      </c>
      <c r="O9" s="1" t="s">
        <v>35</v>
      </c>
      <c r="P9" s="406" t="str">
        <f>IF(【様式第６号の２】事業報告書兼チェックシート!O10="","",【様式第６号の２】事業報告書兼チェックシート!O10)</f>
        <v/>
      </c>
      <c r="Q9" s="406"/>
      <c r="R9" s="406"/>
      <c r="S9" s="406"/>
      <c r="T9" s="406"/>
      <c r="U9" s="406"/>
      <c r="V9" s="406"/>
      <c r="W9" s="406"/>
      <c r="X9" s="406"/>
    </row>
    <row r="10" spans="1:63" ht="35.25" customHeight="1" x14ac:dyDescent="0.2">
      <c r="O10" s="318" t="str">
        <f>IF(【様式第６号の２】事業報告書兼チェックシート!N11="","",【様式第６号の２】事業報告書兼チェックシート!N11)</f>
        <v/>
      </c>
      <c r="P10" s="318"/>
      <c r="Q10" s="318"/>
      <c r="R10" s="318"/>
      <c r="S10" s="318"/>
      <c r="T10" s="318"/>
      <c r="U10" s="318"/>
      <c r="V10" s="318"/>
      <c r="W10" s="318"/>
      <c r="X10" s="318"/>
    </row>
    <row r="11" spans="1:63" ht="16.5" customHeight="1" x14ac:dyDescent="0.2">
      <c r="M11" s="1" t="s">
        <v>6</v>
      </c>
      <c r="O11" s="318" t="str">
        <f>IF(【様式第６号の２】事業報告書兼チェックシート!N12="","",【様式第６号の２】事業報告書兼チェックシート!N12)</f>
        <v/>
      </c>
      <c r="P11" s="318"/>
      <c r="Q11" s="318"/>
      <c r="R11" s="318"/>
      <c r="S11" s="318"/>
      <c r="T11" s="318"/>
      <c r="U11" s="318"/>
      <c r="V11" s="318"/>
      <c r="W11" s="318"/>
      <c r="X11" s="318"/>
      <c r="AA11" s="17" t="s">
        <v>55</v>
      </c>
    </row>
    <row r="12" spans="1:63" ht="16.5" customHeight="1" x14ac:dyDescent="0.2">
      <c r="M12" s="1" t="s">
        <v>10</v>
      </c>
      <c r="O12" s="318" t="str">
        <f>IF(【様式第６号の２】事業報告書兼チェックシート!N13="","",【様式第６号の２】事業報告書兼チェックシート!N13)</f>
        <v/>
      </c>
      <c r="P12" s="318"/>
      <c r="Q12" s="318"/>
      <c r="R12" s="318"/>
      <c r="S12" s="318"/>
      <c r="T12" s="318"/>
      <c r="U12" s="318"/>
      <c r="V12" s="318"/>
      <c r="W12" s="318"/>
      <c r="X12" s="318"/>
    </row>
    <row r="13" spans="1:63" ht="16.5" customHeight="1" x14ac:dyDescent="0.2"/>
    <row r="14" spans="1:63" ht="16.5" customHeight="1" x14ac:dyDescent="0.2"/>
    <row r="15" spans="1:63" ht="16.5" customHeight="1" x14ac:dyDescent="0.2">
      <c r="A15" s="331" t="s">
        <v>159</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67"/>
      <c r="AB15" s="67"/>
      <c r="AC15" s="67"/>
      <c r="AD15" s="67"/>
      <c r="AE15" s="67"/>
      <c r="AF15" s="67"/>
      <c r="AG15" s="67"/>
    </row>
    <row r="16" spans="1:63" ht="16.5" customHeight="1" x14ac:dyDescent="0.2">
      <c r="AA16" s="67"/>
      <c r="AB16" s="67"/>
      <c r="AC16" s="462"/>
      <c r="AD16" s="463"/>
      <c r="AE16" s="463"/>
      <c r="AF16" s="463"/>
      <c r="AG16" s="464"/>
      <c r="AH16" s="68"/>
    </row>
    <row r="17" spans="1:52" ht="45" customHeight="1" x14ac:dyDescent="0.2">
      <c r="A17" s="461" t="s">
        <v>160</v>
      </c>
      <c r="B17" s="461"/>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66"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67" t="s">
        <v>188</v>
      </c>
    </row>
    <row r="19" spans="1:52" ht="16.5" customHeight="1" x14ac:dyDescent="0.2">
      <c r="A19" s="331" t="s">
        <v>14</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461" t="s">
        <v>168</v>
      </c>
      <c r="AB19" s="461"/>
      <c r="AC19" s="461"/>
      <c r="AD19" s="461"/>
      <c r="AE19" s="461"/>
      <c r="AF19" s="461"/>
      <c r="AG19" s="461"/>
      <c r="AH19" s="461"/>
      <c r="AI19" s="461"/>
      <c r="AJ19" s="461"/>
      <c r="AK19" s="461"/>
      <c r="AL19" s="461"/>
      <c r="AM19" s="461"/>
      <c r="AN19" s="461"/>
      <c r="AO19" s="461"/>
      <c r="AP19" s="461"/>
      <c r="AQ19" s="461"/>
      <c r="AR19" s="461"/>
      <c r="AS19" s="461"/>
      <c r="AT19" s="461"/>
      <c r="AU19" s="461"/>
      <c r="AV19" s="461"/>
      <c r="AW19" s="461"/>
      <c r="AX19" s="461"/>
      <c r="AY19" s="461"/>
      <c r="AZ19" s="461"/>
    </row>
    <row r="20" spans="1:52" ht="16.5" customHeight="1" x14ac:dyDescent="0.2"/>
    <row r="21" spans="1:52" ht="16.5" customHeight="1" x14ac:dyDescent="0.2">
      <c r="B21" s="314" t="s">
        <v>162</v>
      </c>
      <c r="C21" s="315"/>
      <c r="D21" s="315"/>
      <c r="E21" s="315"/>
      <c r="F21" s="315"/>
      <c r="G21" s="316"/>
      <c r="H21" s="314" t="s">
        <v>15</v>
      </c>
      <c r="I21" s="315"/>
      <c r="J21" s="315"/>
      <c r="K21" s="315"/>
      <c r="L21" s="315"/>
      <c r="M21" s="315"/>
      <c r="N21" s="315"/>
      <c r="O21" s="315"/>
      <c r="P21" s="315"/>
      <c r="Q21" s="315"/>
      <c r="R21" s="315"/>
      <c r="S21" s="315"/>
      <c r="T21" s="315"/>
      <c r="U21" s="315"/>
      <c r="V21" s="315"/>
      <c r="W21" s="315"/>
      <c r="X21" s="315"/>
      <c r="Y21" s="316"/>
    </row>
    <row r="22" spans="1:52" ht="16.5" customHeight="1" x14ac:dyDescent="0.2">
      <c r="B22" s="328" t="s">
        <v>163</v>
      </c>
      <c r="C22" s="329"/>
      <c r="D22" s="329"/>
      <c r="E22" s="329"/>
      <c r="F22" s="329"/>
      <c r="G22" s="330"/>
      <c r="H22" s="472" t="s">
        <v>16</v>
      </c>
      <c r="I22" s="473"/>
      <c r="J22" s="473"/>
      <c r="K22" s="473"/>
      <c r="L22" s="473"/>
      <c r="M22" s="473"/>
      <c r="N22" s="473"/>
      <c r="O22" s="473"/>
      <c r="P22" s="474"/>
      <c r="Q22" s="314" t="s">
        <v>161</v>
      </c>
      <c r="R22" s="315"/>
      <c r="S22" s="315"/>
      <c r="T22" s="315"/>
      <c r="U22" s="315"/>
      <c r="V22" s="315"/>
      <c r="W22" s="315"/>
      <c r="X22" s="315"/>
      <c r="Y22" s="316"/>
    </row>
    <row r="23" spans="1:52" ht="16.5" customHeight="1" x14ac:dyDescent="0.2">
      <c r="B23" s="333"/>
      <c r="C23" s="334"/>
      <c r="D23" s="334"/>
      <c r="E23" s="334"/>
      <c r="F23" s="334"/>
      <c r="G23" s="335"/>
      <c r="H23" s="470" t="str">
        <f>IF('要入力　交付決定状況入力シート(1)'!C9="","",'要入力　交付決定状況入力シート(1)'!C9)</f>
        <v/>
      </c>
      <c r="I23" s="471"/>
      <c r="J23" s="471"/>
      <c r="K23" s="471"/>
      <c r="L23" s="471"/>
      <c r="M23" s="471"/>
      <c r="N23" s="471"/>
      <c r="O23" s="471"/>
      <c r="P23" s="57" t="s">
        <v>17</v>
      </c>
      <c r="Q23" s="470" t="str">
        <f>'要入力　交付決定状況入力シート(1)'!D9</f>
        <v/>
      </c>
      <c r="R23" s="471"/>
      <c r="S23" s="471"/>
      <c r="T23" s="471"/>
      <c r="U23" s="471"/>
      <c r="V23" s="471"/>
      <c r="W23" s="471"/>
      <c r="X23" s="471"/>
      <c r="Y23" s="57" t="s">
        <v>17</v>
      </c>
      <c r="AA23" s="67" t="str">
        <f>IF(OR(H23="",Q23=""),"←金額は｢要入力　交付決定状況入力シート｣と連動、当該シートの青の欄に交付決定通知（変更した場合は変更承認通知）記載の金額を入力してください。","")</f>
        <v>←金額は｢要入力　交付決定状況入力シート｣と連動、当該シートの青の欄に交付決定通知（変更した場合は変更承認通知）記載の金額を入力してください。</v>
      </c>
    </row>
    <row r="24" spans="1:52" ht="16.5" customHeight="1" x14ac:dyDescent="0.2">
      <c r="B24" s="314" t="s">
        <v>164</v>
      </c>
      <c r="C24" s="315"/>
      <c r="D24" s="315"/>
      <c r="E24" s="315"/>
      <c r="F24" s="315"/>
      <c r="G24" s="316"/>
      <c r="H24" s="470" t="str">
        <f>IF(【様式第６号の２】事業報告書兼チェックシート!K187="","",'要入力　交付決定状況入力シート(1)'!G9)</f>
        <v/>
      </c>
      <c r="I24" s="471"/>
      <c r="J24" s="471"/>
      <c r="K24" s="471"/>
      <c r="L24" s="471"/>
      <c r="M24" s="471"/>
      <c r="N24" s="471"/>
      <c r="O24" s="471"/>
      <c r="P24" s="57" t="s">
        <v>17</v>
      </c>
      <c r="Q24" s="470" t="str">
        <f>IF(【様式第６号の２】事業報告書兼チェックシート!K187="","",'要入力　交付決定状況入力シート(1)'!H9)</f>
        <v/>
      </c>
      <c r="R24" s="471"/>
      <c r="S24" s="471"/>
      <c r="T24" s="471"/>
      <c r="U24" s="471"/>
      <c r="V24" s="471"/>
      <c r="W24" s="471"/>
      <c r="X24" s="471"/>
      <c r="Y24" s="57" t="s">
        <v>17</v>
      </c>
      <c r="AA24" s="67" t="s">
        <v>56</v>
      </c>
    </row>
    <row r="25" spans="1:52" ht="16.5" customHeight="1" x14ac:dyDescent="0.2">
      <c r="B25" s="314" t="s">
        <v>165</v>
      </c>
      <c r="C25" s="315"/>
      <c r="D25" s="315"/>
      <c r="E25" s="315"/>
      <c r="F25" s="315"/>
      <c r="G25" s="316"/>
      <c r="H25" s="470" t="str">
        <f>IF(H23="","",H24-H23)</f>
        <v/>
      </c>
      <c r="I25" s="471"/>
      <c r="J25" s="471"/>
      <c r="K25" s="471"/>
      <c r="L25" s="471"/>
      <c r="M25" s="471"/>
      <c r="N25" s="471"/>
      <c r="O25" s="471"/>
      <c r="P25" s="57" t="s">
        <v>17</v>
      </c>
      <c r="Q25" s="470" t="str">
        <f>IF(Q23="","",Q24-Q23)</f>
        <v/>
      </c>
      <c r="R25" s="471"/>
      <c r="S25" s="471"/>
      <c r="T25" s="471"/>
      <c r="U25" s="471"/>
      <c r="V25" s="471"/>
      <c r="W25" s="471"/>
      <c r="X25" s="471"/>
      <c r="Y25" s="57" t="s">
        <v>17</v>
      </c>
      <c r="AA25" s="67"/>
    </row>
    <row r="26" spans="1:52" ht="16.5" customHeight="1" x14ac:dyDescent="0.2">
      <c r="B26" s="328" t="s">
        <v>18</v>
      </c>
      <c r="C26" s="329"/>
      <c r="D26" s="329"/>
      <c r="E26" s="329"/>
      <c r="F26" s="329"/>
      <c r="G26" s="330"/>
      <c r="H26" s="58"/>
      <c r="I26" s="59"/>
      <c r="J26" s="31"/>
      <c r="K26" s="31"/>
      <c r="L26" s="31"/>
      <c r="M26" s="31"/>
      <c r="N26" s="31"/>
      <c r="O26" s="31"/>
      <c r="P26" s="31"/>
      <c r="Q26" s="31"/>
      <c r="R26" s="31"/>
      <c r="S26" s="31"/>
      <c r="T26" s="31"/>
      <c r="U26" s="31"/>
      <c r="V26" s="31"/>
      <c r="W26" s="31"/>
      <c r="X26" s="31"/>
      <c r="Y26" s="7"/>
      <c r="AA26" s="67"/>
    </row>
    <row r="27" spans="1:52" ht="16.5" customHeight="1" x14ac:dyDescent="0.2">
      <c r="B27" s="22"/>
      <c r="G27" s="60"/>
      <c r="H27" s="61" t="s">
        <v>496</v>
      </c>
      <c r="I27" s="13"/>
      <c r="J27" s="13"/>
      <c r="K27" s="13"/>
      <c r="L27" s="13"/>
      <c r="M27" s="13"/>
      <c r="N27" s="13"/>
      <c r="O27" s="13"/>
      <c r="P27" s="13"/>
      <c r="Q27" s="13"/>
      <c r="R27" s="13"/>
      <c r="S27" s="13"/>
      <c r="T27" s="13"/>
      <c r="U27" s="13"/>
      <c r="V27" s="13"/>
      <c r="W27" s="13"/>
      <c r="X27" s="13"/>
      <c r="Y27" s="62"/>
      <c r="AA27" s="67" t="s">
        <v>57</v>
      </c>
    </row>
    <row r="28" spans="1:52" ht="16.5" customHeight="1" x14ac:dyDescent="0.2">
      <c r="B28" s="22"/>
      <c r="G28" s="60"/>
      <c r="H28" s="465" t="str">
        <f>IF(【様式第６号の２】事業報告書兼チェックシート!C204="","","・"&amp;【様式第６号の２】事業報告書兼チェックシート!C204)</f>
        <v/>
      </c>
      <c r="I28" s="466"/>
      <c r="J28" s="466"/>
      <c r="K28" s="466"/>
      <c r="L28" s="466"/>
      <c r="M28" s="466"/>
      <c r="N28" s="466"/>
      <c r="O28" s="466"/>
      <c r="P28" s="466"/>
      <c r="Q28" s="466"/>
      <c r="R28" s="466"/>
      <c r="S28" s="466"/>
      <c r="T28" s="466"/>
      <c r="U28" s="466"/>
      <c r="V28" s="466"/>
      <c r="W28" s="466"/>
      <c r="X28" s="466"/>
      <c r="Y28" s="467"/>
    </row>
    <row r="29" spans="1:52" ht="16.5" customHeight="1" x14ac:dyDescent="0.2">
      <c r="B29" s="22"/>
      <c r="G29" s="60"/>
      <c r="H29" s="465" t="str">
        <f>IF(【様式第６号の２】事業報告書兼チェックシート!C205="","","・"&amp;【様式第６号の２】事業報告書兼チェックシート!C205)</f>
        <v/>
      </c>
      <c r="I29" s="466"/>
      <c r="J29" s="466"/>
      <c r="K29" s="466"/>
      <c r="L29" s="466"/>
      <c r="M29" s="466"/>
      <c r="N29" s="466"/>
      <c r="O29" s="466"/>
      <c r="P29" s="466"/>
      <c r="Q29" s="466"/>
      <c r="R29" s="466"/>
      <c r="S29" s="466"/>
      <c r="T29" s="466"/>
      <c r="U29" s="466"/>
      <c r="V29" s="466"/>
      <c r="W29" s="466"/>
      <c r="X29" s="466"/>
      <c r="Y29" s="467"/>
    </row>
    <row r="30" spans="1:52" ht="16.5" customHeight="1" x14ac:dyDescent="0.2">
      <c r="B30" s="22"/>
      <c r="G30" s="60"/>
      <c r="H30" s="465" t="str">
        <f>IF(【様式第６号の２】事業報告書兼チェックシート!C206="","","・"&amp;【様式第６号の２】事業報告書兼チェックシート!C206)</f>
        <v/>
      </c>
      <c r="I30" s="466"/>
      <c r="J30" s="466"/>
      <c r="K30" s="466"/>
      <c r="L30" s="466"/>
      <c r="M30" s="466"/>
      <c r="N30" s="466"/>
      <c r="O30" s="466"/>
      <c r="P30" s="466"/>
      <c r="Q30" s="466"/>
      <c r="R30" s="466"/>
      <c r="S30" s="466"/>
      <c r="T30" s="466"/>
      <c r="U30" s="466"/>
      <c r="V30" s="466"/>
      <c r="W30" s="466"/>
      <c r="X30" s="466"/>
      <c r="Y30" s="467"/>
    </row>
    <row r="31" spans="1:52" ht="16.5" customHeight="1" x14ac:dyDescent="0.2">
      <c r="B31" s="22"/>
      <c r="G31" s="60"/>
      <c r="H31" s="465" t="str">
        <f>IF(【様式第６号の２】事業報告書兼チェックシート!C207="","","・"&amp;【様式第６号の２】事業報告書兼チェックシート!C207)</f>
        <v>・完成写真及び口座振替依頼書</v>
      </c>
      <c r="I31" s="466"/>
      <c r="J31" s="466"/>
      <c r="K31" s="466"/>
      <c r="L31" s="466"/>
      <c r="M31" s="466"/>
      <c r="N31" s="466"/>
      <c r="O31" s="466"/>
      <c r="P31" s="466"/>
      <c r="Q31" s="466"/>
      <c r="R31" s="466"/>
      <c r="S31" s="466"/>
      <c r="T31" s="466"/>
      <c r="U31" s="466"/>
      <c r="V31" s="466"/>
      <c r="W31" s="466"/>
      <c r="X31" s="466"/>
      <c r="Y31" s="467"/>
    </row>
    <row r="32" spans="1:52" ht="16.5" customHeight="1" x14ac:dyDescent="0.2">
      <c r="B32" s="22"/>
      <c r="G32" s="60"/>
      <c r="H32" s="465" t="str">
        <f>IF(【様式第６号の２】事業報告書兼チェックシート!C208="","","・"&amp;【様式第６号の２】事業報告書兼チェックシート!C208)</f>
        <v>・鳥取県産材活用協議会が発行する県産材の産地証明書の写し</v>
      </c>
      <c r="I32" s="466"/>
      <c r="J32" s="466"/>
      <c r="K32" s="466"/>
      <c r="L32" s="466"/>
      <c r="M32" s="466"/>
      <c r="N32" s="466"/>
      <c r="O32" s="466"/>
      <c r="P32" s="466"/>
      <c r="Q32" s="466"/>
      <c r="R32" s="466"/>
      <c r="S32" s="466"/>
      <c r="T32" s="466"/>
      <c r="U32" s="466"/>
      <c r="V32" s="466"/>
      <c r="W32" s="466"/>
      <c r="X32" s="466"/>
      <c r="Y32" s="467"/>
    </row>
    <row r="33" spans="2:27" ht="32.25" customHeight="1" x14ac:dyDescent="0.2">
      <c r="B33" s="22"/>
      <c r="G33" s="60"/>
      <c r="H33" s="468" t="str">
        <f>IF(【様式第６号の２】事業報告書兼チェックシート!C209="","","・"&amp;【様式第６号の２】事業報告書兼チェックシート!C209)</f>
        <v/>
      </c>
      <c r="I33" s="407"/>
      <c r="J33" s="407"/>
      <c r="K33" s="407"/>
      <c r="L33" s="407"/>
      <c r="M33" s="407"/>
      <c r="N33" s="407"/>
      <c r="O33" s="407"/>
      <c r="P33" s="407"/>
      <c r="Q33" s="407"/>
      <c r="R33" s="407"/>
      <c r="S33" s="407"/>
      <c r="T33" s="407"/>
      <c r="U33" s="407"/>
      <c r="V33" s="407"/>
      <c r="W33" s="407"/>
      <c r="X33" s="407"/>
      <c r="Y33" s="469"/>
    </row>
    <row r="34" spans="2:27" ht="57" customHeight="1" x14ac:dyDescent="0.2">
      <c r="B34" s="22"/>
      <c r="G34" s="60"/>
      <c r="H34" s="468"/>
      <c r="I34" s="407"/>
      <c r="J34" s="407"/>
      <c r="K34" s="407"/>
      <c r="L34" s="407"/>
      <c r="M34" s="407"/>
      <c r="N34" s="407"/>
      <c r="O34" s="407"/>
      <c r="P34" s="407"/>
      <c r="Q34" s="407"/>
      <c r="R34" s="407"/>
      <c r="S34" s="407"/>
      <c r="T34" s="407"/>
      <c r="U34" s="407"/>
      <c r="V34" s="407"/>
      <c r="W34" s="407"/>
      <c r="X34" s="407"/>
      <c r="Y34" s="469"/>
    </row>
    <row r="35" spans="2:27" ht="16.5" customHeight="1" x14ac:dyDescent="0.2">
      <c r="B35" s="22"/>
      <c r="G35" s="60"/>
      <c r="H35" s="465" t="str">
        <f>IF(【様式第６号の２】事業報告書兼チェックシート!C211="","","・"&amp;【様式第６号の２】事業報告書兼チェックシート!C211)</f>
        <v/>
      </c>
      <c r="I35" s="466"/>
      <c r="J35" s="466"/>
      <c r="K35" s="466"/>
      <c r="L35" s="466"/>
      <c r="M35" s="466"/>
      <c r="N35" s="466"/>
      <c r="O35" s="466"/>
      <c r="P35" s="466"/>
      <c r="Q35" s="466"/>
      <c r="R35" s="466"/>
      <c r="S35" s="466"/>
      <c r="T35" s="466"/>
      <c r="U35" s="466"/>
      <c r="V35" s="466"/>
      <c r="W35" s="466"/>
      <c r="X35" s="466"/>
      <c r="Y35" s="467"/>
    </row>
    <row r="36" spans="2:27" ht="16.5" customHeight="1" x14ac:dyDescent="0.2">
      <c r="B36" s="22"/>
      <c r="G36" s="60"/>
      <c r="H36" s="465" t="str">
        <f>IF(【様式第６号の２】事業報告書兼チェックシート!C212="","","・"&amp;【様式第６号の２】事業報告書兼チェックシート!C212)</f>
        <v/>
      </c>
      <c r="I36" s="466"/>
      <c r="J36" s="466"/>
      <c r="K36" s="466"/>
      <c r="L36" s="466"/>
      <c r="M36" s="466"/>
      <c r="N36" s="466"/>
      <c r="O36" s="466"/>
      <c r="P36" s="466"/>
      <c r="Q36" s="466"/>
      <c r="R36" s="466"/>
      <c r="S36" s="466"/>
      <c r="T36" s="466"/>
      <c r="U36" s="466"/>
      <c r="V36" s="466"/>
      <c r="W36" s="466"/>
      <c r="X36" s="466"/>
      <c r="Y36" s="467"/>
    </row>
    <row r="37" spans="2:27" s="47" customFormat="1" ht="50.25" customHeight="1" x14ac:dyDescent="0.2">
      <c r="B37" s="84"/>
      <c r="G37" s="85"/>
      <c r="H37" s="468" t="str">
        <f>IF(【様式第６号の２】事業報告書兼チェックシート!C213="","","・"&amp;【様式第６号の２】事業報告書兼チェックシート!C213)</f>
        <v/>
      </c>
      <c r="I37" s="407"/>
      <c r="J37" s="407"/>
      <c r="K37" s="407"/>
      <c r="L37" s="407"/>
      <c r="M37" s="407"/>
      <c r="N37" s="407"/>
      <c r="O37" s="407"/>
      <c r="P37" s="407"/>
      <c r="Q37" s="407"/>
      <c r="R37" s="407"/>
      <c r="S37" s="407"/>
      <c r="T37" s="407"/>
      <c r="U37" s="407"/>
      <c r="V37" s="407"/>
      <c r="W37" s="407"/>
      <c r="X37" s="407"/>
      <c r="Y37" s="469"/>
      <c r="AA37" s="86"/>
    </row>
    <row r="38" spans="2:27" ht="30.75" customHeight="1" x14ac:dyDescent="0.2">
      <c r="B38" s="22"/>
      <c r="G38" s="60"/>
      <c r="H38" s="468" t="str">
        <f>IF(【様式第６号の２】事業報告書兼チェックシート!C214="","","・"&amp;【様式第６号の２】事業報告書兼チェックシート!C214)</f>
        <v/>
      </c>
      <c r="I38" s="407"/>
      <c r="J38" s="407"/>
      <c r="K38" s="407"/>
      <c r="L38" s="407"/>
      <c r="M38" s="407"/>
      <c r="N38" s="407"/>
      <c r="O38" s="407"/>
      <c r="P38" s="407"/>
      <c r="Q38" s="407"/>
      <c r="R38" s="407"/>
      <c r="S38" s="407"/>
      <c r="T38" s="407"/>
      <c r="U38" s="407"/>
      <c r="V38" s="407"/>
      <c r="W38" s="407"/>
      <c r="X38" s="407"/>
      <c r="Y38" s="469"/>
    </row>
    <row r="39" spans="2:27" ht="16.5" customHeight="1" x14ac:dyDescent="0.2">
      <c r="B39" s="22"/>
      <c r="G39" s="60"/>
      <c r="H39" s="465" t="str">
        <f>IF(【様式第６号の２】事業報告書兼チェックシート!C215="","","・"&amp;【様式第６号の２】事業報告書兼チェックシート!C215)</f>
        <v/>
      </c>
      <c r="I39" s="466"/>
      <c r="J39" s="466"/>
      <c r="K39" s="466"/>
      <c r="L39" s="466"/>
      <c r="M39" s="466"/>
      <c r="N39" s="466"/>
      <c r="O39" s="466"/>
      <c r="P39" s="466"/>
      <c r="Q39" s="466"/>
      <c r="R39" s="466"/>
      <c r="S39" s="466"/>
      <c r="T39" s="466"/>
      <c r="U39" s="466"/>
      <c r="V39" s="466"/>
      <c r="W39" s="466"/>
      <c r="X39" s="466"/>
      <c r="Y39" s="467"/>
    </row>
    <row r="40" spans="2:27" ht="38.25" customHeight="1" x14ac:dyDescent="0.2">
      <c r="B40" s="22"/>
      <c r="G40" s="60"/>
      <c r="H40" s="468" t="str">
        <f>IF(【様式第６号の２】事業報告書兼チェックシート!C216="","","・"&amp;【様式第６号の２】事業報告書兼チェックシート!C216)</f>
        <v/>
      </c>
      <c r="I40" s="407"/>
      <c r="J40" s="407"/>
      <c r="K40" s="407"/>
      <c r="L40" s="407"/>
      <c r="M40" s="407"/>
      <c r="N40" s="407"/>
      <c r="O40" s="407"/>
      <c r="P40" s="407"/>
      <c r="Q40" s="407"/>
      <c r="R40" s="407"/>
      <c r="S40" s="407"/>
      <c r="T40" s="407"/>
      <c r="U40" s="407"/>
      <c r="V40" s="407"/>
      <c r="W40" s="407"/>
      <c r="X40" s="407"/>
      <c r="Y40" s="469"/>
    </row>
    <row r="41" spans="2:27" ht="30" customHeight="1" x14ac:dyDescent="0.2">
      <c r="B41" s="22"/>
      <c r="G41" s="60"/>
      <c r="H41" s="468" t="str">
        <f>IF(【様式第６号の２】事業報告書兼チェックシート!C217="","","・"&amp;【様式第６号の２】事業報告書兼チェックシート!C217)</f>
        <v/>
      </c>
      <c r="I41" s="407"/>
      <c r="J41" s="407"/>
      <c r="K41" s="407"/>
      <c r="L41" s="407"/>
      <c r="M41" s="407"/>
      <c r="N41" s="407"/>
      <c r="O41" s="407"/>
      <c r="P41" s="407"/>
      <c r="Q41" s="407"/>
      <c r="R41" s="407"/>
      <c r="S41" s="407"/>
      <c r="T41" s="407"/>
      <c r="U41" s="407"/>
      <c r="V41" s="407"/>
      <c r="W41" s="407"/>
      <c r="X41" s="407"/>
      <c r="Y41" s="469"/>
    </row>
    <row r="42" spans="2:27" ht="43.5" customHeight="1" x14ac:dyDescent="0.2">
      <c r="B42" s="22"/>
      <c r="G42" s="60"/>
      <c r="H42" s="468" t="str">
        <f>IF(【様式第６号の２】事業報告書兼チェックシート!C218="","","・"&amp;【様式第６号の２】事業報告書兼チェックシート!C218)</f>
        <v/>
      </c>
      <c r="I42" s="407"/>
      <c r="J42" s="407"/>
      <c r="K42" s="407"/>
      <c r="L42" s="407"/>
      <c r="M42" s="407"/>
      <c r="N42" s="407"/>
      <c r="O42" s="407"/>
      <c r="P42" s="407"/>
      <c r="Q42" s="407"/>
      <c r="R42" s="407"/>
      <c r="S42" s="407"/>
      <c r="T42" s="407"/>
      <c r="U42" s="407"/>
      <c r="V42" s="407"/>
      <c r="W42" s="407"/>
      <c r="X42" s="407"/>
      <c r="Y42" s="469"/>
    </row>
    <row r="43" spans="2:27" ht="16.5" customHeight="1" x14ac:dyDescent="0.2">
      <c r="B43" s="22"/>
      <c r="G43" s="60"/>
      <c r="H43" s="465" t="str">
        <f>IF(【様式第６号の２】事業報告書兼チェックシート!C219="","","・"&amp;【様式第６号の２】事業報告書兼チェックシート!C219)</f>
        <v/>
      </c>
      <c r="I43" s="466"/>
      <c r="J43" s="466"/>
      <c r="K43" s="466"/>
      <c r="L43" s="466"/>
      <c r="M43" s="466"/>
      <c r="N43" s="466"/>
      <c r="O43" s="466"/>
      <c r="P43" s="466"/>
      <c r="Q43" s="466"/>
      <c r="R43" s="466"/>
      <c r="S43" s="466"/>
      <c r="T43" s="466"/>
      <c r="U43" s="466"/>
      <c r="V43" s="466"/>
      <c r="W43" s="466"/>
      <c r="X43" s="466"/>
      <c r="Y43" s="467"/>
    </row>
    <row r="44" spans="2:27" ht="11.25" customHeight="1" x14ac:dyDescent="0.2">
      <c r="B44" s="8"/>
      <c r="C44" s="16"/>
      <c r="D44" s="16"/>
      <c r="E44" s="16"/>
      <c r="F44" s="16"/>
      <c r="G44" s="9"/>
      <c r="H44" s="63"/>
      <c r="I44" s="64"/>
      <c r="J44" s="16"/>
      <c r="K44" s="16"/>
      <c r="L44" s="16"/>
      <c r="M44" s="16"/>
      <c r="N44" s="16"/>
      <c r="O44" s="16"/>
      <c r="P44" s="16"/>
      <c r="Q44" s="16"/>
      <c r="R44" s="16"/>
      <c r="S44" s="16"/>
      <c r="T44" s="16"/>
      <c r="U44" s="16"/>
      <c r="V44" s="16"/>
      <c r="W44" s="16"/>
      <c r="X44" s="16"/>
      <c r="Y44" s="9"/>
    </row>
  </sheetData>
  <sheetProtection algorithmName="SHA-512" hashValue="4/oTzNvJUqNdVZ9B4u1jNOf2x7puH8CzYA3OIRZ6RMVd3s/FtmGAdaUZEsW5tvJ7xqERcH34XeAEwYaZvWyQZw==" saltValue="rlkKbnx7MNMt+DFfU6rD6g==" spinCount="100000" sheet="1" selectLockedCells="1"/>
  <mergeCells count="42">
    <mergeCell ref="H43:Y43"/>
    <mergeCell ref="H28:Y28"/>
    <mergeCell ref="H29:Y29"/>
    <mergeCell ref="H30:Y30"/>
    <mergeCell ref="H41:Y41"/>
    <mergeCell ref="H42:Y42"/>
    <mergeCell ref="H31:Y31"/>
    <mergeCell ref="H32:Y32"/>
    <mergeCell ref="H33:Y33"/>
    <mergeCell ref="H34:Y34"/>
    <mergeCell ref="H35:Y35"/>
    <mergeCell ref="H38:Y38"/>
    <mergeCell ref="H39:Y39"/>
    <mergeCell ref="H40:Y40"/>
    <mergeCell ref="AC16:AG16"/>
    <mergeCell ref="AA19:AZ19"/>
    <mergeCell ref="H36:Y36"/>
    <mergeCell ref="H37:Y37"/>
    <mergeCell ref="B24:G24"/>
    <mergeCell ref="B25:G25"/>
    <mergeCell ref="H24:O24"/>
    <mergeCell ref="Q24:X24"/>
    <mergeCell ref="H23:O23"/>
    <mergeCell ref="H25:O25"/>
    <mergeCell ref="Q23:X23"/>
    <mergeCell ref="Q25:X25"/>
    <mergeCell ref="A19:Z19"/>
    <mergeCell ref="H21:Y21"/>
    <mergeCell ref="H22:P22"/>
    <mergeCell ref="P9:X9"/>
    <mergeCell ref="Q2:R2"/>
    <mergeCell ref="T2:U2"/>
    <mergeCell ref="W2:X2"/>
    <mergeCell ref="B26:G26"/>
    <mergeCell ref="O10:X10"/>
    <mergeCell ref="O11:X11"/>
    <mergeCell ref="O12:X12"/>
    <mergeCell ref="A17:Z17"/>
    <mergeCell ref="A15:Z15"/>
    <mergeCell ref="Q22:Y22"/>
    <mergeCell ref="B22:G23"/>
    <mergeCell ref="B21:G21"/>
  </mergeCells>
  <phoneticPr fontId="1"/>
  <conditionalFormatting sqref="A2:O2 S2 V2 Y2:Z2">
    <cfRule type="cellIs" dxfId="17" priority="1" operator="equal">
      <formula>"令和　年　月　日"</formula>
    </cfRule>
  </conditionalFormatting>
  <conditionalFormatting sqref="A17:Z17">
    <cfRule type="cellIs" dxfId="16" priority="2" operator="equal">
      <formula>$BK$3</formula>
    </cfRule>
    <cfRule type="cellIs" dxfId="15" priority="3" operator="equal">
      <formula>$BK$2</formula>
    </cfRule>
  </conditionalFormatting>
  <dataValidations count="1">
    <dataValidation type="list" allowBlank="1" showInputMessage="1" showErrorMessage="1" sqref="AC16:AG16" xr:uid="{00000000-0002-0000-0100-000000000000}">
      <formula1>"はい,いいえ"</formula1>
    </dataValidation>
  </dataValidations>
  <pageMargins left="0.98425196850393704" right="0.98425196850393704" top="0.39370078740157483" bottom="0.39370078740157483" header="0.31496062992125984" footer="0.31496062992125984"/>
  <pageSetup paperSize="9" scale="86"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FF951-BCC7-4370-8F8B-F1C7034A3A93}">
  <dimension ref="A1:BK35"/>
  <sheetViews>
    <sheetView view="pageBreakPreview" zoomScaleNormal="100" zoomScaleSheetLayoutView="100" workbookViewId="0">
      <selection activeCell="BK3" sqref="BK3"/>
    </sheetView>
  </sheetViews>
  <sheetFormatPr defaultColWidth="3.109375" defaultRowHeight="18" customHeight="1" x14ac:dyDescent="0.2"/>
  <cols>
    <col min="1" max="26" width="3.109375" style="1"/>
    <col min="27" max="27" width="9.109375" style="17" customWidth="1"/>
    <col min="28" max="16384" width="3.109375" style="1"/>
  </cols>
  <sheetData>
    <row r="1" spans="1:63" ht="15.75" customHeight="1" x14ac:dyDescent="0.2">
      <c r="A1" s="1" t="s">
        <v>495</v>
      </c>
    </row>
    <row r="2" spans="1:63" ht="15.75" customHeight="1" x14ac:dyDescent="0.2">
      <c r="A2" s="269"/>
      <c r="B2" s="269"/>
      <c r="C2" s="269"/>
      <c r="D2" s="269"/>
      <c r="E2" s="269"/>
      <c r="F2" s="269"/>
      <c r="G2" s="269"/>
      <c r="H2" s="269"/>
      <c r="I2" s="269"/>
      <c r="J2" s="269"/>
      <c r="K2" s="269"/>
      <c r="L2" s="269"/>
      <c r="M2" s="269"/>
      <c r="N2" s="269"/>
      <c r="O2" s="270" t="s">
        <v>397</v>
      </c>
      <c r="P2" s="270"/>
      <c r="Q2" s="460">
        <f>IF(【様式第６号の２】事業報告書兼チェックシート!C8="","",【様式第６号の２】事業報告書兼チェックシート!C8)</f>
        <v>7</v>
      </c>
      <c r="R2" s="460"/>
      <c r="S2" s="271" t="s">
        <v>9</v>
      </c>
      <c r="T2" s="460" t="str">
        <f>IF(【様式第６号の２】事業報告書兼チェックシート!H8="","",【様式第６号の２】事業報告書兼チェックシート!H8)</f>
        <v/>
      </c>
      <c r="U2" s="460"/>
      <c r="V2" s="271" t="s">
        <v>359</v>
      </c>
      <c r="W2" s="460" t="str">
        <f>IF(【様式第６号の２】事業報告書兼チェックシート!K8="","",【様式第６号の２】事業報告書兼チェックシート!K8)</f>
        <v/>
      </c>
      <c r="X2" s="460"/>
      <c r="Y2" s="271" t="s">
        <v>8</v>
      </c>
      <c r="Z2" s="271"/>
      <c r="AA2" s="66" t="str">
        <f>IF(A2="令和　年　月　日","←申請日を入力してください。","")</f>
        <v/>
      </c>
      <c r="BK2" s="79" t="s">
        <v>160</v>
      </c>
    </row>
    <row r="3" spans="1:63"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BK3" s="79" t="s">
        <v>168</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13</v>
      </c>
    </row>
    <row r="9" spans="1:63" ht="15.75" customHeight="1" x14ac:dyDescent="0.2">
      <c r="M9" s="1" t="s">
        <v>12</v>
      </c>
      <c r="O9" s="1" t="s">
        <v>11</v>
      </c>
      <c r="P9" s="406" t="str">
        <f>IF(【様式第６号の２】事業報告書兼チェックシート!O10="","",【様式第６号の２】事業報告書兼チェックシート!O10)</f>
        <v/>
      </c>
      <c r="Q9" s="406"/>
      <c r="R9" s="406"/>
      <c r="S9" s="406"/>
      <c r="T9" s="406"/>
      <c r="U9" s="406"/>
      <c r="V9" s="406"/>
      <c r="W9" s="406"/>
      <c r="X9" s="406"/>
    </row>
    <row r="10" spans="1:63" ht="35.25" customHeight="1" x14ac:dyDescent="0.2">
      <c r="O10" s="318" t="str">
        <f>IF(【様式第６号の２】事業報告書兼チェックシート!N11="","",【様式第６号の２】事業報告書兼チェックシート!N11)</f>
        <v/>
      </c>
      <c r="P10" s="318"/>
      <c r="Q10" s="318"/>
      <c r="R10" s="318"/>
      <c r="S10" s="318"/>
      <c r="T10" s="318"/>
      <c r="U10" s="318"/>
      <c r="V10" s="318"/>
      <c r="W10" s="318"/>
      <c r="X10" s="318"/>
    </row>
    <row r="11" spans="1:63" ht="16.5" customHeight="1" x14ac:dyDescent="0.2">
      <c r="M11" s="1" t="s">
        <v>6</v>
      </c>
      <c r="O11" s="318" t="str">
        <f>IF(【様式第６号の２】事業報告書兼チェックシート!N12="","",【様式第６号の２】事業報告書兼チェックシート!N12)</f>
        <v/>
      </c>
      <c r="P11" s="318"/>
      <c r="Q11" s="318"/>
      <c r="R11" s="318"/>
      <c r="S11" s="318"/>
      <c r="T11" s="318"/>
      <c r="U11" s="318"/>
      <c r="V11" s="318"/>
      <c r="W11" s="318"/>
      <c r="X11" s="318"/>
      <c r="AA11" s="17" t="s">
        <v>55</v>
      </c>
    </row>
    <row r="12" spans="1:63" ht="16.5" customHeight="1" x14ac:dyDescent="0.2">
      <c r="M12" s="1" t="s">
        <v>10</v>
      </c>
      <c r="O12" s="318" t="str">
        <f>IF(【様式第６号の２】事業報告書兼チェックシート!N13="","",【様式第６号の２】事業報告書兼チェックシート!N13)</f>
        <v/>
      </c>
      <c r="P12" s="318"/>
      <c r="Q12" s="318"/>
      <c r="R12" s="318"/>
      <c r="S12" s="318"/>
      <c r="T12" s="318"/>
      <c r="U12" s="318"/>
      <c r="V12" s="318"/>
      <c r="W12" s="318"/>
      <c r="X12" s="318"/>
    </row>
    <row r="13" spans="1:63" ht="16.5" customHeight="1" x14ac:dyDescent="0.2"/>
    <row r="14" spans="1:63" ht="16.5" customHeight="1" x14ac:dyDescent="0.2"/>
    <row r="15" spans="1:63" ht="16.5" customHeight="1" x14ac:dyDescent="0.2">
      <c r="A15" s="331" t="s">
        <v>484</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67"/>
      <c r="AB15" s="67"/>
      <c r="AC15" s="67"/>
      <c r="AD15" s="67"/>
      <c r="AE15" s="67"/>
      <c r="AF15" s="67"/>
      <c r="AG15" s="67"/>
    </row>
    <row r="16" spans="1:63" ht="16.5" customHeight="1" x14ac:dyDescent="0.2">
      <c r="AA16" s="67"/>
      <c r="AB16" s="67"/>
      <c r="AC16" s="462"/>
      <c r="AD16" s="463"/>
      <c r="AE16" s="463"/>
      <c r="AF16" s="463"/>
      <c r="AG16" s="464"/>
      <c r="AH16" s="68"/>
    </row>
    <row r="17" spans="1:52" ht="45" customHeight="1" x14ac:dyDescent="0.2">
      <c r="A17" s="461" t="s">
        <v>160</v>
      </c>
      <c r="B17" s="461"/>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66"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67" t="s">
        <v>188</v>
      </c>
    </row>
    <row r="19" spans="1:52" ht="16.5" customHeight="1" x14ac:dyDescent="0.2">
      <c r="A19" s="331" t="s">
        <v>14</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461" t="s">
        <v>168</v>
      </c>
      <c r="AB19" s="461"/>
      <c r="AC19" s="461"/>
      <c r="AD19" s="461"/>
      <c r="AE19" s="461"/>
      <c r="AF19" s="461"/>
      <c r="AG19" s="461"/>
      <c r="AH19" s="461"/>
      <c r="AI19" s="461"/>
      <c r="AJ19" s="461"/>
      <c r="AK19" s="461"/>
      <c r="AL19" s="461"/>
      <c r="AM19" s="461"/>
      <c r="AN19" s="461"/>
      <c r="AO19" s="461"/>
      <c r="AP19" s="461"/>
      <c r="AQ19" s="461"/>
      <c r="AR19" s="461"/>
      <c r="AS19" s="461"/>
      <c r="AT19" s="461"/>
      <c r="AU19" s="461"/>
      <c r="AV19" s="461"/>
      <c r="AW19" s="461"/>
      <c r="AX19" s="461"/>
      <c r="AY19" s="461"/>
      <c r="AZ19" s="461"/>
    </row>
    <row r="20" spans="1:52" ht="16.5" customHeight="1" x14ac:dyDescent="0.2"/>
    <row r="21" spans="1:52" ht="16.5" customHeight="1" x14ac:dyDescent="0.2">
      <c r="B21" s="314" t="s">
        <v>162</v>
      </c>
      <c r="C21" s="315"/>
      <c r="D21" s="315"/>
      <c r="E21" s="315"/>
      <c r="F21" s="315"/>
      <c r="G21" s="316"/>
      <c r="H21" s="314" t="s">
        <v>211</v>
      </c>
      <c r="I21" s="315"/>
      <c r="J21" s="315"/>
      <c r="K21" s="315"/>
      <c r="L21" s="315"/>
      <c r="M21" s="315"/>
      <c r="N21" s="315"/>
      <c r="O21" s="315"/>
      <c r="P21" s="315"/>
      <c r="Q21" s="315"/>
      <c r="R21" s="315"/>
      <c r="S21" s="315"/>
      <c r="T21" s="315"/>
      <c r="U21" s="315"/>
      <c r="V21" s="315"/>
      <c r="W21" s="315"/>
      <c r="X21" s="315"/>
      <c r="Y21" s="316"/>
    </row>
    <row r="22" spans="1:52" ht="16.5" customHeight="1" x14ac:dyDescent="0.2">
      <c r="B22" s="328" t="s">
        <v>163</v>
      </c>
      <c r="C22" s="329"/>
      <c r="D22" s="329"/>
      <c r="E22" s="329"/>
      <c r="F22" s="329"/>
      <c r="G22" s="330"/>
      <c r="H22" s="472" t="s">
        <v>16</v>
      </c>
      <c r="I22" s="473"/>
      <c r="J22" s="473"/>
      <c r="K22" s="473"/>
      <c r="L22" s="473"/>
      <c r="M22" s="473"/>
      <c r="N22" s="473"/>
      <c r="O22" s="473"/>
      <c r="P22" s="474"/>
      <c r="Q22" s="314" t="s">
        <v>161</v>
      </c>
      <c r="R22" s="315"/>
      <c r="S22" s="315"/>
      <c r="T22" s="315"/>
      <c r="U22" s="315"/>
      <c r="V22" s="315"/>
      <c r="W22" s="315"/>
      <c r="X22" s="315"/>
      <c r="Y22" s="316"/>
    </row>
    <row r="23" spans="1:52" ht="16.5" customHeight="1" x14ac:dyDescent="0.2">
      <c r="B23" s="333"/>
      <c r="C23" s="334"/>
      <c r="D23" s="334"/>
      <c r="E23" s="334"/>
      <c r="F23" s="334"/>
      <c r="G23" s="335"/>
      <c r="H23" s="470">
        <f>'要入力　交付決定状況入力シート(1)'!C19</f>
        <v>0</v>
      </c>
      <c r="I23" s="471"/>
      <c r="J23" s="471"/>
      <c r="K23" s="471"/>
      <c r="L23" s="471"/>
      <c r="M23" s="471"/>
      <c r="N23" s="471"/>
      <c r="O23" s="471"/>
      <c r="P23" s="57" t="s">
        <v>17</v>
      </c>
      <c r="Q23" s="470">
        <f>'要入力　交付決定状況入力シート(1)'!D19</f>
        <v>0</v>
      </c>
      <c r="R23" s="471"/>
      <c r="S23" s="471"/>
      <c r="T23" s="471"/>
      <c r="U23" s="471"/>
      <c r="V23" s="471"/>
      <c r="W23" s="471"/>
      <c r="X23" s="471"/>
      <c r="Y23" s="57" t="s">
        <v>17</v>
      </c>
      <c r="AA23" s="67" t="str">
        <f>IF(OR(H23="",Q23=""),"←金額は｢要入力　交付決定状況入力シート｣と連動、当該シートの青の欄に交付決定通知（変更した場合は変更承認通知）記載の金額を入力してください。","")</f>
        <v/>
      </c>
    </row>
    <row r="24" spans="1:52" ht="16.5" customHeight="1" x14ac:dyDescent="0.2">
      <c r="B24" s="314" t="s">
        <v>164</v>
      </c>
      <c r="C24" s="315"/>
      <c r="D24" s="315"/>
      <c r="E24" s="315"/>
      <c r="F24" s="315"/>
      <c r="G24" s="316"/>
      <c r="H24" s="470">
        <f>'要入力　交付決定状況入力シート(1)'!G19</f>
        <v>0</v>
      </c>
      <c r="I24" s="471"/>
      <c r="J24" s="471"/>
      <c r="K24" s="471"/>
      <c r="L24" s="471"/>
      <c r="M24" s="471"/>
      <c r="N24" s="471"/>
      <c r="O24" s="471"/>
      <c r="P24" s="57" t="s">
        <v>17</v>
      </c>
      <c r="Q24" s="470">
        <f>'要入力　交付決定状況入力シート(1)'!H19</f>
        <v>0</v>
      </c>
      <c r="R24" s="471"/>
      <c r="S24" s="471"/>
      <c r="T24" s="471"/>
      <c r="U24" s="471"/>
      <c r="V24" s="471"/>
      <c r="W24" s="471"/>
      <c r="X24" s="471"/>
      <c r="Y24" s="57" t="s">
        <v>17</v>
      </c>
      <c r="AA24" s="67" t="s">
        <v>56</v>
      </c>
    </row>
    <row r="25" spans="1:52" ht="16.5" customHeight="1" x14ac:dyDescent="0.2">
      <c r="B25" s="314" t="s">
        <v>165</v>
      </c>
      <c r="C25" s="315"/>
      <c r="D25" s="315"/>
      <c r="E25" s="315"/>
      <c r="F25" s="315"/>
      <c r="G25" s="316"/>
      <c r="H25" s="470">
        <f>IF(H23="","",H24-H23)</f>
        <v>0</v>
      </c>
      <c r="I25" s="471"/>
      <c r="J25" s="471"/>
      <c r="K25" s="471"/>
      <c r="L25" s="471"/>
      <c r="M25" s="471"/>
      <c r="N25" s="471"/>
      <c r="O25" s="471"/>
      <c r="P25" s="57" t="s">
        <v>17</v>
      </c>
      <c r="Q25" s="470">
        <f>IF(Q23="","",Q24-Q23)</f>
        <v>0</v>
      </c>
      <c r="R25" s="471"/>
      <c r="S25" s="471"/>
      <c r="T25" s="471"/>
      <c r="U25" s="471"/>
      <c r="V25" s="471"/>
      <c r="W25" s="471"/>
      <c r="X25" s="471"/>
      <c r="Y25" s="57" t="s">
        <v>17</v>
      </c>
      <c r="AA25" s="67"/>
    </row>
    <row r="26" spans="1:52" ht="16.5" customHeight="1" x14ac:dyDescent="0.2">
      <c r="B26" s="328" t="s">
        <v>18</v>
      </c>
      <c r="C26" s="329"/>
      <c r="D26" s="329"/>
      <c r="E26" s="329"/>
      <c r="F26" s="329"/>
      <c r="G26" s="330"/>
      <c r="H26" s="61" t="s">
        <v>496</v>
      </c>
      <c r="I26" s="59"/>
      <c r="J26" s="31"/>
      <c r="K26" s="31"/>
      <c r="L26" s="31"/>
      <c r="M26" s="31"/>
      <c r="N26" s="31"/>
      <c r="O26" s="31"/>
      <c r="P26" s="31"/>
      <c r="Q26" s="31"/>
      <c r="R26" s="31"/>
      <c r="S26" s="31"/>
      <c r="T26" s="31"/>
      <c r="U26" s="31"/>
      <c r="V26" s="31"/>
      <c r="W26" s="31"/>
      <c r="X26" s="31"/>
      <c r="Y26" s="7"/>
      <c r="AA26" s="67"/>
    </row>
    <row r="27" spans="1:52" ht="16.5" customHeight="1" x14ac:dyDescent="0.2">
      <c r="B27" s="22"/>
      <c r="G27" s="60"/>
      <c r="H27" s="61" t="str">
        <f>IF(【様式第６号の２】事業報告書兼チェックシート!C220="","","・"&amp;【様式第６号の２】事業報告書兼チェックシート!C220)</f>
        <v/>
      </c>
      <c r="I27" s="13"/>
      <c r="J27" s="13"/>
      <c r="K27" s="13"/>
      <c r="L27" s="13"/>
      <c r="M27" s="13"/>
      <c r="N27" s="13"/>
      <c r="O27" s="13"/>
      <c r="P27" s="13"/>
      <c r="Q27" s="13"/>
      <c r="R27" s="13"/>
      <c r="S27" s="13"/>
      <c r="T27" s="13"/>
      <c r="U27" s="13"/>
      <c r="V27" s="13"/>
      <c r="W27" s="13"/>
      <c r="X27" s="13"/>
      <c r="Y27" s="62"/>
      <c r="AA27" s="67" t="s">
        <v>57</v>
      </c>
    </row>
    <row r="28" spans="1:52" ht="16.5" customHeight="1" x14ac:dyDescent="0.2">
      <c r="B28" s="22"/>
      <c r="G28" s="60"/>
      <c r="H28" s="465" t="str">
        <f>IF(【様式第６号の２】事業報告書兼チェックシート!C221="","","・"&amp;【様式第６号の２】事業報告書兼チェックシート!C221)</f>
        <v/>
      </c>
      <c r="I28" s="466"/>
      <c r="J28" s="466"/>
      <c r="K28" s="466"/>
      <c r="L28" s="466"/>
      <c r="M28" s="466"/>
      <c r="N28" s="466"/>
      <c r="O28" s="466"/>
      <c r="P28" s="466"/>
      <c r="Q28" s="466"/>
      <c r="R28" s="466"/>
      <c r="S28" s="466"/>
      <c r="T28" s="466"/>
      <c r="U28" s="466"/>
      <c r="V28" s="466"/>
      <c r="W28" s="466"/>
      <c r="X28" s="466"/>
      <c r="Y28" s="467"/>
    </row>
    <row r="29" spans="1:52" ht="16.5" customHeight="1" x14ac:dyDescent="0.2">
      <c r="B29" s="22"/>
      <c r="G29" s="60"/>
      <c r="H29" s="303" t="str">
        <f>IF(【様式第６号の２】事業報告書兼チェックシート!T191=0,IF(【様式第６号の２】事業報告書兼チェックシート!C204="","","・"&amp;【様式第６号の２】事業報告書兼チェックシート!C204),"")</f>
        <v/>
      </c>
      <c r="I29" s="304"/>
      <c r="J29" s="304"/>
      <c r="K29" s="304"/>
      <c r="L29" s="304"/>
      <c r="M29" s="304"/>
      <c r="N29" s="304"/>
      <c r="O29" s="304"/>
      <c r="P29" s="304"/>
      <c r="Q29" s="304"/>
      <c r="R29" s="304"/>
      <c r="S29" s="304"/>
      <c r="T29" s="304"/>
      <c r="U29" s="304"/>
      <c r="V29" s="304"/>
      <c r="W29" s="304"/>
      <c r="X29" s="304"/>
      <c r="Y29" s="305"/>
    </row>
    <row r="30" spans="1:52" ht="16.5" customHeight="1" x14ac:dyDescent="0.2">
      <c r="B30" s="22"/>
      <c r="G30" s="60"/>
      <c r="H30" s="303" t="str">
        <f>IF(【様式第６号の２】事業報告書兼チェックシート!T191=0,IF(【様式第６号の２】事業報告書兼チェックシート!C205="","","・"&amp;【様式第６号の２】事業報告書兼チェックシート!C205),"")</f>
        <v/>
      </c>
      <c r="I30" s="304"/>
      <c r="J30" s="304"/>
      <c r="K30" s="304"/>
      <c r="L30" s="304"/>
      <c r="M30" s="304"/>
      <c r="N30" s="304"/>
      <c r="O30" s="304"/>
      <c r="P30" s="304"/>
      <c r="Q30" s="304"/>
      <c r="R30" s="304"/>
      <c r="S30" s="304"/>
      <c r="T30" s="304"/>
      <c r="U30" s="304"/>
      <c r="V30" s="304"/>
      <c r="W30" s="304"/>
      <c r="X30" s="304"/>
      <c r="Y30" s="305"/>
    </row>
    <row r="31" spans="1:52" ht="16.5" customHeight="1" x14ac:dyDescent="0.2">
      <c r="B31" s="22"/>
      <c r="G31" s="60"/>
      <c r="H31" s="465" t="str">
        <f>IF(【様式第６号の２】事業報告書兼チェックシート!T191=0,IF(【様式第６号の２】事業報告書兼チェックシート!C207="","","・"&amp;【様式第６号の２】事業報告書兼チェックシート!C207),"")</f>
        <v>・完成写真及び口座振替依頼書</v>
      </c>
      <c r="I31" s="466"/>
      <c r="J31" s="466"/>
      <c r="K31" s="466"/>
      <c r="L31" s="466"/>
      <c r="M31" s="466"/>
      <c r="N31" s="466"/>
      <c r="O31" s="466"/>
      <c r="P31" s="466"/>
      <c r="Q31" s="466"/>
      <c r="R31" s="466"/>
      <c r="S31" s="466"/>
      <c r="T31" s="466"/>
      <c r="U31" s="466"/>
      <c r="V31" s="466"/>
      <c r="W31" s="466"/>
      <c r="X31" s="466"/>
      <c r="Y31" s="467"/>
    </row>
    <row r="32" spans="1:52" ht="16.5" customHeight="1" x14ac:dyDescent="0.2">
      <c r="B32" s="22"/>
      <c r="G32" s="60"/>
      <c r="H32" s="465" t="s">
        <v>511</v>
      </c>
      <c r="I32" s="466"/>
      <c r="J32" s="466"/>
      <c r="K32" s="466"/>
      <c r="L32" s="466"/>
      <c r="M32" s="466"/>
      <c r="N32" s="466"/>
      <c r="O32" s="466"/>
      <c r="P32" s="466"/>
      <c r="Q32" s="466"/>
      <c r="R32" s="466"/>
      <c r="S32" s="466"/>
      <c r="T32" s="466"/>
      <c r="U32" s="466"/>
      <c r="V32" s="466"/>
      <c r="W32" s="466"/>
      <c r="X32" s="466"/>
      <c r="Y32" s="467"/>
    </row>
    <row r="33" spans="2:25" ht="16.5" customHeight="1" x14ac:dyDescent="0.2">
      <c r="B33" s="22"/>
      <c r="G33" s="60"/>
      <c r="H33" s="465" t="str">
        <f>IF(【様式第６号の２】事業報告書兼チェックシート!DC225="","","・"&amp;【様式第６号の２】事業報告書兼チェックシート!D225)</f>
        <v/>
      </c>
      <c r="I33" s="466"/>
      <c r="J33" s="466"/>
      <c r="K33" s="466"/>
      <c r="L33" s="466"/>
      <c r="M33" s="466"/>
      <c r="N33" s="466"/>
      <c r="O33" s="466"/>
      <c r="P33" s="466"/>
      <c r="Q33" s="466"/>
      <c r="R33" s="466"/>
      <c r="S33" s="466"/>
      <c r="T33" s="466"/>
      <c r="U33" s="466"/>
      <c r="V33" s="466"/>
      <c r="W33" s="466"/>
      <c r="X33" s="466"/>
      <c r="Y33" s="467"/>
    </row>
    <row r="34" spans="2:25" ht="16.5" customHeight="1" x14ac:dyDescent="0.2">
      <c r="B34" s="22"/>
      <c r="G34" s="60"/>
      <c r="H34" s="465" t="str">
        <f>IF(【様式第６号の２】事業報告書兼チェックシート!D226="","","・"&amp;【様式第６号の２】事業報告書兼チェックシート!D226)</f>
        <v/>
      </c>
      <c r="I34" s="466"/>
      <c r="J34" s="466"/>
      <c r="K34" s="466"/>
      <c r="L34" s="466"/>
      <c r="M34" s="466"/>
      <c r="N34" s="466"/>
      <c r="O34" s="466"/>
      <c r="P34" s="466"/>
      <c r="Q34" s="466"/>
      <c r="R34" s="466"/>
      <c r="S34" s="466"/>
      <c r="T34" s="466"/>
      <c r="U34" s="466"/>
      <c r="V34" s="466"/>
      <c r="W34" s="466"/>
      <c r="X34" s="466"/>
      <c r="Y34" s="467"/>
    </row>
    <row r="35" spans="2:25" ht="11.25" customHeight="1" x14ac:dyDescent="0.2">
      <c r="B35" s="8"/>
      <c r="C35" s="16"/>
      <c r="D35" s="16"/>
      <c r="E35" s="16"/>
      <c r="F35" s="16"/>
      <c r="G35" s="9"/>
      <c r="H35" s="63"/>
      <c r="I35" s="64"/>
      <c r="J35" s="16"/>
      <c r="K35" s="16"/>
      <c r="L35" s="16"/>
      <c r="M35" s="16"/>
      <c r="N35" s="16"/>
      <c r="O35" s="16"/>
      <c r="P35" s="16"/>
      <c r="Q35" s="16"/>
      <c r="R35" s="16"/>
      <c r="S35" s="16"/>
      <c r="T35" s="16"/>
      <c r="U35" s="16"/>
      <c r="V35" s="16"/>
      <c r="W35" s="16"/>
      <c r="X35" s="16"/>
      <c r="Y35" s="9"/>
    </row>
  </sheetData>
  <sheetProtection algorithmName="SHA-512" hashValue="ygIZWOaOjwIIGaqTP/UEc1KWT/hNsKr2ECVmcAtgytT1HpWYCt8WNE69kY0Qx2aqltB98RH+UHU8ItF29vShbw==" saltValue="gAqukMaSO9CMe5BApkZOlw==" spinCount="100000" sheet="1" selectLockedCells="1"/>
  <mergeCells count="31">
    <mergeCell ref="O11:X11"/>
    <mergeCell ref="Q2:R2"/>
    <mergeCell ref="T2:U2"/>
    <mergeCell ref="W2:X2"/>
    <mergeCell ref="P9:X9"/>
    <mergeCell ref="O10:X10"/>
    <mergeCell ref="O12:X12"/>
    <mergeCell ref="A15:Z15"/>
    <mergeCell ref="AC16:AG16"/>
    <mergeCell ref="A17:Z17"/>
    <mergeCell ref="A19:Z19"/>
    <mergeCell ref="AA19:AZ19"/>
    <mergeCell ref="B21:G21"/>
    <mergeCell ref="H21:Y21"/>
    <mergeCell ref="B22:G23"/>
    <mergeCell ref="H22:P22"/>
    <mergeCell ref="Q22:Y22"/>
    <mergeCell ref="H23:O23"/>
    <mergeCell ref="Q23:X23"/>
    <mergeCell ref="H34:Y34"/>
    <mergeCell ref="B24:G24"/>
    <mergeCell ref="H24:O24"/>
    <mergeCell ref="Q24:X24"/>
    <mergeCell ref="B25:G25"/>
    <mergeCell ref="H25:O25"/>
    <mergeCell ref="Q25:X25"/>
    <mergeCell ref="B26:G26"/>
    <mergeCell ref="H28:Y28"/>
    <mergeCell ref="H31:Y31"/>
    <mergeCell ref="H32:Y32"/>
    <mergeCell ref="H33:Y33"/>
  </mergeCells>
  <phoneticPr fontId="1"/>
  <conditionalFormatting sqref="A2:O2 S2 V2 Y2:Z2">
    <cfRule type="cellIs" dxfId="14" priority="1" operator="equal">
      <formula>"令和　年　月　日"</formula>
    </cfRule>
  </conditionalFormatting>
  <conditionalFormatting sqref="A17:Z17">
    <cfRule type="cellIs" dxfId="13" priority="2" operator="equal">
      <formula>$BK$3</formula>
    </cfRule>
    <cfRule type="cellIs" dxfId="12" priority="3" operator="equal">
      <formula>$BK$2</formula>
    </cfRule>
  </conditionalFormatting>
  <dataValidations count="1">
    <dataValidation type="list" allowBlank="1" showInputMessage="1" showErrorMessage="1" sqref="AC16:AG16" xr:uid="{C5117FB5-E0F6-43BC-8ADB-25A88CA0AAB4}">
      <formula1>"はい,いいえ"</formula1>
    </dataValidation>
  </dataValidations>
  <pageMargins left="0.98425196850393704" right="0.98425196850393704" top="0.39370078740157483" bottom="0.39370078740157483" header="0.31496062992125984" footer="0.31496062992125984"/>
  <pageSetup paperSize="9" scale="8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50FB2-2962-4A73-991E-CE1F5157B363}">
  <sheetPr>
    <tabColor rgb="FFFFFF00"/>
  </sheetPr>
  <dimension ref="B1:J20"/>
  <sheetViews>
    <sheetView workbookViewId="0">
      <selection activeCell="C19" sqref="C19"/>
    </sheetView>
  </sheetViews>
  <sheetFormatPr defaultColWidth="9" defaultRowHeight="13.2" x14ac:dyDescent="0.2"/>
  <cols>
    <col min="1" max="1" width="2" style="69" customWidth="1"/>
    <col min="2" max="2" width="18.6640625" style="69" customWidth="1"/>
    <col min="3" max="4" width="15.44140625" style="69" customWidth="1"/>
    <col min="5" max="5" width="6.77734375" style="69" customWidth="1"/>
    <col min="6" max="6" width="20.109375" style="69" customWidth="1"/>
    <col min="7" max="8" width="15.44140625" style="69" customWidth="1"/>
    <col min="9" max="9" width="5.33203125" style="69" customWidth="1"/>
    <col min="10" max="10" width="19.77734375" style="69" customWidth="1"/>
    <col min="11" max="11" width="1" style="69" customWidth="1"/>
    <col min="12" max="16384" width="9" style="69"/>
  </cols>
  <sheetData>
    <row r="1" spans="2:10" ht="44.25" customHeight="1" x14ac:dyDescent="0.2">
      <c r="B1" s="475" t="s">
        <v>187</v>
      </c>
      <c r="C1" s="475"/>
      <c r="D1" s="475"/>
      <c r="F1" s="70" t="s">
        <v>186</v>
      </c>
      <c r="J1" s="71" t="s">
        <v>182</v>
      </c>
    </row>
    <row r="2" spans="2:10" x14ac:dyDescent="0.2">
      <c r="B2" s="76" t="s">
        <v>44</v>
      </c>
      <c r="C2" s="76" t="s">
        <v>174</v>
      </c>
      <c r="D2" s="76" t="s">
        <v>161</v>
      </c>
      <c r="F2" s="76" t="s">
        <v>44</v>
      </c>
      <c r="G2" s="76" t="s">
        <v>174</v>
      </c>
      <c r="H2" s="76" t="s">
        <v>176</v>
      </c>
      <c r="J2" s="76" t="s">
        <v>177</v>
      </c>
    </row>
    <row r="3" spans="2:10" x14ac:dyDescent="0.2">
      <c r="B3" s="72" t="s">
        <v>170</v>
      </c>
      <c r="C3" s="73"/>
      <c r="D3" s="73"/>
      <c r="F3" s="72" t="s">
        <v>170</v>
      </c>
      <c r="G3" s="74">
        <f>IF(【様式第６号の２】事業報告書兼チェックシート!Y90="",0,【様式第６号の２】事業報告書兼チェックシート!Y90*10000)</f>
        <v>0</v>
      </c>
      <c r="H3" s="74">
        <f>IF(【様式第６号の２】事業報告書兼チェックシート!Y90="",0,【様式第６号の２】事業報告書兼チェックシート!Y90*10000)</f>
        <v>0</v>
      </c>
      <c r="J3" s="75">
        <f>IF(H3="","",MIN(D3,H3))</f>
        <v>0</v>
      </c>
    </row>
    <row r="4" spans="2:10" x14ac:dyDescent="0.2">
      <c r="B4" s="72" t="s">
        <v>412</v>
      </c>
      <c r="C4" s="73"/>
      <c r="D4" s="73"/>
      <c r="F4" s="72" t="s">
        <v>412</v>
      </c>
      <c r="G4" s="74">
        <f>IF(【様式第６号の２】事業報告書兼チェックシート!Y151="",0,【様式第６号の２】事業報告書兼チェックシート!Y151*10000)</f>
        <v>0</v>
      </c>
      <c r="H4" s="74">
        <f>IF(【様式第６号の２】事業報告書兼チェックシート!Y151="",0,【様式第６号の２】事業報告書兼チェックシート!Y151*10000)</f>
        <v>0</v>
      </c>
      <c r="J4" s="75">
        <f>IF(H4="","",MIN(D4,H4))</f>
        <v>0</v>
      </c>
    </row>
    <row r="5" spans="2:10" x14ac:dyDescent="0.2">
      <c r="B5" s="72" t="s">
        <v>172</v>
      </c>
      <c r="C5" s="73"/>
      <c r="D5" s="73"/>
      <c r="F5" s="72" t="s">
        <v>172</v>
      </c>
      <c r="G5" s="74">
        <f>IF(【様式第６号の２】事業報告書兼チェックシート!Y102="",0,【様式第６号の２】事業報告書兼チェックシート!Y102*10000)</f>
        <v>0</v>
      </c>
      <c r="H5" s="74">
        <f>IF(【様式第６号の２】事業報告書兼チェックシート!Y102="",0,【様式第６号の２】事業報告書兼チェックシート!Y102*10000)</f>
        <v>0</v>
      </c>
      <c r="J5" s="75">
        <f t="shared" ref="J5:J6" si="0">IF(H5="","",MIN(D5,H5))</f>
        <v>0</v>
      </c>
    </row>
    <row r="6" spans="2:10" x14ac:dyDescent="0.2">
      <c r="B6" s="72" t="s">
        <v>173</v>
      </c>
      <c r="C6" s="73"/>
      <c r="D6" s="73"/>
      <c r="F6" s="72" t="s">
        <v>173</v>
      </c>
      <c r="G6" s="74">
        <f>IF(【様式第６号の２】事業報告書兼チェックシート!Y120="",0,【様式第６号の２】事業報告書兼チェックシート!Y120*10000)</f>
        <v>0</v>
      </c>
      <c r="H6" s="74">
        <f>IF(【様式第６号の２】事業報告書兼チェックシート!Y120="",0,【様式第６号の２】事業報告書兼チェックシート!Y120*10000)</f>
        <v>0</v>
      </c>
      <c r="J6" s="75">
        <f t="shared" si="0"/>
        <v>0</v>
      </c>
    </row>
    <row r="8" spans="2:10" x14ac:dyDescent="0.2">
      <c r="C8" s="76" t="s">
        <v>178</v>
      </c>
      <c r="D8" s="76" t="s">
        <v>161</v>
      </c>
      <c r="G8" s="76" t="s">
        <v>178</v>
      </c>
      <c r="H8" s="76" t="s">
        <v>161</v>
      </c>
    </row>
    <row r="9" spans="2:10" x14ac:dyDescent="0.2">
      <c r="C9" s="75" t="str">
        <f>IF(C3=0,"",SUM(C3:C6))</f>
        <v/>
      </c>
      <c r="D9" s="75" t="str">
        <f>IF(D3=0,"",MIN(500000,SUM(D3:D6),ROUNDDOWN(B12*10000/2,-3)))</f>
        <v/>
      </c>
      <c r="G9" s="75" t="str">
        <f>IF(G3=0,"",SUM(G3:G6))</f>
        <v/>
      </c>
      <c r="H9" s="75" t="str">
        <f>IF(H3=0,"",MIN(SUM(J3:J6),500000,ROUNDDOWN(F12*10000/2,-3),D9))</f>
        <v/>
      </c>
    </row>
    <row r="11" spans="2:10" x14ac:dyDescent="0.2">
      <c r="B11" s="69" t="s">
        <v>179</v>
      </c>
      <c r="F11" s="69" t="s">
        <v>181</v>
      </c>
    </row>
    <row r="12" spans="2:10" x14ac:dyDescent="0.2">
      <c r="B12" s="77"/>
      <c r="C12" s="69" t="s">
        <v>0</v>
      </c>
      <c r="F12" s="78" t="str">
        <f>IF(【様式第６号の２】事業報告書兼チェックシート!S31="","",【様式第６号の２】事業報告書兼チェックシート!S31)</f>
        <v/>
      </c>
      <c r="G12" s="69" t="s">
        <v>0</v>
      </c>
    </row>
    <row r="13" spans="2:10" x14ac:dyDescent="0.2">
      <c r="B13" s="476" t="s">
        <v>185</v>
      </c>
      <c r="C13" s="476"/>
      <c r="D13" s="476"/>
      <c r="F13" s="69" t="s">
        <v>180</v>
      </c>
    </row>
    <row r="14" spans="2:10" x14ac:dyDescent="0.2">
      <c r="B14" s="476"/>
      <c r="C14" s="476"/>
      <c r="D14" s="476"/>
    </row>
    <row r="15" spans="2:10" x14ac:dyDescent="0.2">
      <c r="B15" s="69" t="s">
        <v>183</v>
      </c>
    </row>
    <row r="18" spans="2:10" x14ac:dyDescent="0.2">
      <c r="B18" s="297" t="s">
        <v>44</v>
      </c>
      <c r="C18" s="297" t="s">
        <v>174</v>
      </c>
      <c r="D18" s="297" t="s">
        <v>161</v>
      </c>
      <c r="F18" s="297" t="s">
        <v>44</v>
      </c>
      <c r="G18" s="297" t="s">
        <v>174</v>
      </c>
      <c r="H18" s="297" t="s">
        <v>176</v>
      </c>
      <c r="J18" s="297" t="s">
        <v>177</v>
      </c>
    </row>
    <row r="19" spans="2:10" x14ac:dyDescent="0.2">
      <c r="B19" s="298" t="s">
        <v>483</v>
      </c>
      <c r="C19" s="73"/>
      <c r="D19" s="73"/>
      <c r="F19" s="298" t="str">
        <f>B19</f>
        <v>健康省エネ改修</v>
      </c>
      <c r="G19" s="74">
        <f>【様式第６号の３】補助基準額等算定表!D63</f>
        <v>0</v>
      </c>
      <c r="H19" s="74">
        <f>【様式第６号の３】補助基準額等算定表!D66</f>
        <v>0</v>
      </c>
      <c r="J19" s="75">
        <f>IF(H19="","",MIN(D19,H19))</f>
        <v>0</v>
      </c>
    </row>
    <row r="20" spans="2:10" ht="13.5" customHeight="1" x14ac:dyDescent="0.2"/>
  </sheetData>
  <sheetProtection algorithmName="SHA-512" hashValue="RZMm1t2/PfO+6chNjlX0V5klU8PUlqgK/j8zp1iqBEeGtQOCQhd2PztocGOXqH6EK42ObAhyiazxSZlUrC1fyQ==" saltValue="bu3CLigNCrIN7o1k0vPvgg==" spinCount="100000" sheet="1" objects="1" scenarios="1" formatRows="0" selectLockedCells="1"/>
  <mergeCells count="2">
    <mergeCell ref="B1:D1"/>
    <mergeCell ref="B13:D14"/>
  </mergeCells>
  <phoneticPr fontId="1"/>
  <conditionalFormatting sqref="B12">
    <cfRule type="cellIs" dxfId="11" priority="3" operator="equal">
      <formula>0</formula>
    </cfRule>
  </conditionalFormatting>
  <conditionalFormatting sqref="C3:D6">
    <cfRule type="cellIs" dxfId="10" priority="4" operator="equal">
      <formula>0</formula>
    </cfRule>
  </conditionalFormatting>
  <conditionalFormatting sqref="C19:D19">
    <cfRule type="cellIs" dxfId="9" priority="1" operator="lessThan">
      <formula>1</formula>
    </cfRule>
    <cfRule type="containsBlanks" dxfId="8" priority="2">
      <formula>LEN(TRIM(C19))=0</formula>
    </cfRule>
  </conditionalFormatting>
  <dataValidations count="2">
    <dataValidation type="whole" operator="greaterThanOrEqual" allowBlank="1" showInputMessage="1" showErrorMessage="1" sqref="C3:D6" xr:uid="{F4062B42-AFE2-4712-ABA9-F3C2DAB87552}">
      <formula1>0</formula1>
    </dataValidation>
    <dataValidation type="whole" operator="greaterThanOrEqual" showInputMessage="1" showErrorMessage="1" sqref="C19:D19" xr:uid="{56BABEB8-7CF6-4359-9883-39893BC32788}">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B1:J15"/>
  <sheetViews>
    <sheetView view="pageBreakPreview" zoomScaleNormal="100" zoomScaleSheetLayoutView="100" workbookViewId="0">
      <selection sqref="A1:XFD1048576"/>
    </sheetView>
  </sheetViews>
  <sheetFormatPr defaultColWidth="9" defaultRowHeight="13.2" x14ac:dyDescent="0.2"/>
  <cols>
    <col min="1" max="1" width="2" style="69" customWidth="1"/>
    <col min="2" max="2" width="18.6640625" style="69" customWidth="1"/>
    <col min="3" max="4" width="15.44140625" style="69" customWidth="1"/>
    <col min="5" max="5" width="6.77734375" style="69" customWidth="1"/>
    <col min="6" max="6" width="20.109375" style="69" customWidth="1"/>
    <col min="7" max="8" width="15.44140625" style="69" customWidth="1"/>
    <col min="9" max="9" width="5.33203125" style="69" customWidth="1"/>
    <col min="10" max="10" width="19.77734375" style="69" customWidth="1"/>
    <col min="11" max="11" width="1" style="69" customWidth="1"/>
    <col min="12" max="16384" width="9" style="69"/>
  </cols>
  <sheetData>
    <row r="1" spans="2:10" ht="44.25" customHeight="1" x14ac:dyDescent="0.2">
      <c r="B1" s="475" t="s">
        <v>187</v>
      </c>
      <c r="C1" s="475"/>
      <c r="D1" s="475"/>
      <c r="F1" s="70" t="s">
        <v>186</v>
      </c>
      <c r="J1" s="71" t="s">
        <v>182</v>
      </c>
    </row>
    <row r="2" spans="2:10" x14ac:dyDescent="0.2">
      <c r="B2" s="76" t="s">
        <v>44</v>
      </c>
      <c r="C2" s="76" t="s">
        <v>174</v>
      </c>
      <c r="D2" s="76" t="s">
        <v>175</v>
      </c>
      <c r="F2" s="76" t="s">
        <v>44</v>
      </c>
      <c r="G2" s="76" t="s">
        <v>174</v>
      </c>
      <c r="H2" s="76" t="s">
        <v>176</v>
      </c>
      <c r="J2" s="76" t="s">
        <v>177</v>
      </c>
    </row>
    <row r="3" spans="2:10" x14ac:dyDescent="0.2">
      <c r="B3" s="72" t="s">
        <v>170</v>
      </c>
      <c r="C3" s="73"/>
      <c r="D3" s="73"/>
      <c r="F3" s="72" t="s">
        <v>170</v>
      </c>
      <c r="G3" s="74">
        <f>IF(【様式第６号の２】事業報告書兼チェックシート!Y90="",0,【様式第６号の２】事業報告書兼チェックシート!Y90*10000)</f>
        <v>0</v>
      </c>
      <c r="H3" s="74">
        <f>IF(【様式第６号の２】事業報告書兼チェックシート!Y90="",0,【様式第６号の２】事業報告書兼チェックシート!Y90*10000)</f>
        <v>0</v>
      </c>
      <c r="J3" s="75">
        <f>IF(H3="","",MIN(D3,H3))</f>
        <v>0</v>
      </c>
    </row>
    <row r="4" spans="2:10" x14ac:dyDescent="0.2">
      <c r="B4" s="72" t="s">
        <v>171</v>
      </c>
      <c r="C4" s="73"/>
      <c r="D4" s="73"/>
      <c r="F4" s="72" t="s">
        <v>171</v>
      </c>
      <c r="G4" s="74">
        <f>IF(【様式第６号の２】事業報告書兼チェックシート!Y151="",0,【様式第６号の２】事業報告書兼チェックシート!Y151*10000)</f>
        <v>0</v>
      </c>
      <c r="H4" s="74">
        <f>IF(【様式第６号の２】事業報告書兼チェックシート!Y151="",0,【様式第６号の２】事業報告書兼チェックシート!Y151*10000)</f>
        <v>0</v>
      </c>
      <c r="J4" s="75">
        <f>IF(H4="","",MIN(D4,H4))</f>
        <v>0</v>
      </c>
    </row>
    <row r="5" spans="2:10" x14ac:dyDescent="0.2">
      <c r="B5" s="72" t="s">
        <v>172</v>
      </c>
      <c r="C5" s="73"/>
      <c r="D5" s="73"/>
      <c r="F5" s="72" t="s">
        <v>172</v>
      </c>
      <c r="G5" s="74">
        <f>IF(【様式第６号の２】事業報告書兼チェックシート!Y102="",0,【様式第６号の２】事業報告書兼チェックシート!Y102*10000)</f>
        <v>0</v>
      </c>
      <c r="H5" s="74">
        <f>IF(【様式第６号の２】事業報告書兼チェックシート!Y102="",0,【様式第６号の２】事業報告書兼チェックシート!Y102*10000)</f>
        <v>0</v>
      </c>
      <c r="J5" s="75">
        <f t="shared" ref="J5:J6" si="0">IF(H5="","",MIN(D5,H5))</f>
        <v>0</v>
      </c>
    </row>
    <row r="6" spans="2:10" x14ac:dyDescent="0.2">
      <c r="B6" s="72" t="s">
        <v>173</v>
      </c>
      <c r="C6" s="73"/>
      <c r="D6" s="73"/>
      <c r="F6" s="72" t="s">
        <v>173</v>
      </c>
      <c r="G6" s="74">
        <f>IF(【様式第６号の２】事業報告書兼チェックシート!Y120="",0,【様式第６号の２】事業報告書兼チェックシート!Y120*10000)</f>
        <v>0</v>
      </c>
      <c r="H6" s="74">
        <f>IF(【様式第６号の２】事業報告書兼チェックシート!Y120="",0,【様式第６号の２】事業報告書兼チェックシート!Y120*10000)</f>
        <v>0</v>
      </c>
      <c r="J6" s="75">
        <f t="shared" si="0"/>
        <v>0</v>
      </c>
    </row>
    <row r="8" spans="2:10" x14ac:dyDescent="0.2">
      <c r="C8" s="76" t="s">
        <v>178</v>
      </c>
      <c r="D8" s="76" t="s">
        <v>175</v>
      </c>
      <c r="G8" s="76" t="s">
        <v>178</v>
      </c>
      <c r="H8" s="76" t="s">
        <v>175</v>
      </c>
    </row>
    <row r="9" spans="2:10" x14ac:dyDescent="0.2">
      <c r="C9" s="75" t="str">
        <f>IF(C3=0,"",SUM(C3:C6))</f>
        <v/>
      </c>
      <c r="D9" s="75" t="str">
        <f>IF(D3=0,"",MIN(500000,SUM(D3:D6),ROUNDDOWN(B12*10000/2,-3)))</f>
        <v/>
      </c>
      <c r="G9" s="75" t="str">
        <f>IF(G3=0,"",SUM(G3:G6))</f>
        <v/>
      </c>
      <c r="H9" s="75" t="str">
        <f>IF(H3=0,"",MIN(SUM(J3:J6),500000,ROUNDDOWN(F12*10000/2,-3),D9))</f>
        <v/>
      </c>
    </row>
    <row r="11" spans="2:10" x14ac:dyDescent="0.2">
      <c r="B11" s="69" t="s">
        <v>179</v>
      </c>
      <c r="F11" s="69" t="s">
        <v>181</v>
      </c>
    </row>
    <row r="12" spans="2:10" x14ac:dyDescent="0.2">
      <c r="B12" s="77"/>
      <c r="C12" s="69" t="s">
        <v>0</v>
      </c>
      <c r="F12" s="78" t="str">
        <f>IF(【様式第６号の２】事業報告書兼チェックシート!S31="","",【様式第６号の２】事業報告書兼チェックシート!S31)</f>
        <v/>
      </c>
      <c r="G12" s="69" t="s">
        <v>0</v>
      </c>
    </row>
    <row r="13" spans="2:10" x14ac:dyDescent="0.2">
      <c r="B13" s="476" t="s">
        <v>185</v>
      </c>
      <c r="C13" s="476"/>
      <c r="D13" s="476"/>
      <c r="F13" s="69" t="s">
        <v>180</v>
      </c>
    </row>
    <row r="14" spans="2:10" x14ac:dyDescent="0.2">
      <c r="B14" s="476"/>
      <c r="C14" s="476"/>
      <c r="D14" s="476"/>
    </row>
    <row r="15" spans="2:10" x14ac:dyDescent="0.2">
      <c r="B15" s="69" t="s">
        <v>183</v>
      </c>
    </row>
  </sheetData>
  <sheetProtection algorithmName="SHA-512" hashValue="mrFUwmU0JAbzTTAaObMby1Yo09ypH+5N6gjybzyGyX6BWQ4tDxc602km8sHReHgDVMX/71ZZE2qPlrM2dx6Ozg==" saltValue="y/aPxPBEGBGIqpOVcCo2IQ==" spinCount="100000" sheet="1" objects="1" scenarios="1"/>
  <mergeCells count="2">
    <mergeCell ref="B1:D1"/>
    <mergeCell ref="B13:D14"/>
  </mergeCells>
  <phoneticPr fontId="1"/>
  <conditionalFormatting sqref="B12">
    <cfRule type="cellIs" dxfId="7" priority="1" operator="equal">
      <formula>0</formula>
    </cfRule>
  </conditionalFormatting>
  <conditionalFormatting sqref="C3:D6">
    <cfRule type="cellIs" dxfId="6" priority="3" operator="equal">
      <formula>0</formula>
    </cfRule>
  </conditionalFormatting>
  <dataValidations count="1">
    <dataValidation type="whole" operator="greaterThanOrEqual" allowBlank="1" showInputMessage="1" showErrorMessage="1" sqref="C3:D6" xr:uid="{00000000-0002-0000-0200-000000000000}">
      <formula1>0</formula1>
    </dataValidation>
  </dataValidations>
  <pageMargins left="0.7" right="0.7" top="0.75" bottom="0.75" header="0.3" footer="0.3"/>
  <pageSetup paperSize="9" scale="65"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E9A3-AEBE-48B5-9FAA-8018A7B19805}">
  <dimension ref="B1:AGP27"/>
  <sheetViews>
    <sheetView zoomScale="80" zoomScaleNormal="80" workbookViewId="0">
      <selection activeCell="DP16" sqref="DP16"/>
    </sheetView>
  </sheetViews>
  <sheetFormatPr defaultColWidth="9" defaultRowHeight="13.2" outlineLevelRow="1" outlineLevelCol="1" x14ac:dyDescent="0.2"/>
  <cols>
    <col min="1" max="1" width="9" style="92"/>
    <col min="2" max="2" width="6.6640625" style="90" hidden="1" customWidth="1"/>
    <col min="3" max="3" width="6.6640625" hidden="1" customWidth="1"/>
    <col min="4" max="5" width="7.6640625" style="91" hidden="1" customWidth="1"/>
    <col min="6" max="6" width="9.6640625" style="92" hidden="1" customWidth="1"/>
    <col min="7" max="7" width="8.88671875" style="92" hidden="1" customWidth="1"/>
    <col min="8" max="8" width="11.6640625" style="93" hidden="1" customWidth="1"/>
    <col min="9" max="9" width="26.44140625" style="92" hidden="1" customWidth="1"/>
    <col min="10" max="10" width="10.6640625" style="91" hidden="1" customWidth="1"/>
    <col min="11" max="11" width="50" style="92" hidden="1" customWidth="1"/>
    <col min="12" max="12" width="16.6640625" style="91" hidden="1" customWidth="1"/>
    <col min="13" max="13" width="10.6640625" style="91" hidden="1" customWidth="1"/>
    <col min="14" max="14" width="57" style="92" hidden="1" customWidth="1"/>
    <col min="15" max="31" width="6.6640625" style="95" hidden="1" customWidth="1"/>
    <col min="32" max="33" width="6.6640625" style="95" hidden="1" customWidth="1" outlineLevel="1"/>
    <col min="34" max="35" width="6.6640625" style="95" hidden="1" customWidth="1"/>
    <col min="36" max="37" width="6.6640625" style="95" hidden="1" customWidth="1" outlineLevel="1"/>
    <col min="38" max="51" width="6.6640625" style="95" hidden="1" customWidth="1"/>
    <col min="52" max="52" width="9" style="95" hidden="1" customWidth="1"/>
    <col min="53" max="56" width="6.6640625" style="95" hidden="1" customWidth="1"/>
    <col min="57" max="58" width="6.6640625" style="95" hidden="1" customWidth="1" outlineLevel="1"/>
    <col min="59" max="60" width="6.6640625" style="95" hidden="1" customWidth="1"/>
    <col min="61" max="63" width="6.6640625" style="95" hidden="1" customWidth="1" outlineLevel="1"/>
    <col min="64" max="65" width="6.6640625" style="95" hidden="1" customWidth="1"/>
    <col min="66" max="68" width="6.6640625" style="95" hidden="1" customWidth="1" outlineLevel="1"/>
    <col min="69" max="71" width="6.6640625" style="95" hidden="1" customWidth="1"/>
    <col min="72" max="72" width="10.6640625" style="93" hidden="1" customWidth="1"/>
    <col min="73" max="73" width="3.33203125" style="93" hidden="1" customWidth="1"/>
    <col min="74" max="74" width="4.33203125" style="93" hidden="1" customWidth="1"/>
    <col min="75" max="75" width="3.33203125" style="93" hidden="1" customWidth="1"/>
    <col min="76" max="76" width="4.88671875" style="93" hidden="1" customWidth="1"/>
    <col min="77" max="77" width="3.33203125" style="93" hidden="1" customWidth="1"/>
    <col min="78" max="78" width="10.6640625" style="93" hidden="1" customWidth="1"/>
    <col min="79" max="79" width="3.33203125" style="93" hidden="1" customWidth="1"/>
    <col min="80" max="80" width="4.33203125" style="93" hidden="1" customWidth="1"/>
    <col min="81" max="81" width="3.33203125" style="93" hidden="1" customWidth="1"/>
    <col min="82" max="82" width="4.88671875" style="93" hidden="1" customWidth="1"/>
    <col min="83" max="83" width="3.33203125" style="93" hidden="1" customWidth="1"/>
    <col min="84" max="84" width="10.6640625" style="93" hidden="1" customWidth="1"/>
    <col min="85" max="85" width="9" style="96" hidden="1" customWidth="1"/>
    <col min="86" max="86" width="29.33203125" style="92" hidden="1" customWidth="1"/>
    <col min="87" max="87" width="40.6640625" style="92" hidden="1" customWidth="1"/>
    <col min="88" max="88" width="10.88671875" style="91" hidden="1" customWidth="1"/>
    <col min="89" max="90" width="9" style="92" hidden="1" customWidth="1"/>
    <col min="91" max="91" width="9" style="91" hidden="1" customWidth="1"/>
    <col min="92" max="92" width="9" style="93" hidden="1" customWidth="1"/>
    <col min="93" max="94" width="9" style="92" hidden="1" customWidth="1"/>
    <col min="95" max="96" width="9" style="93" hidden="1" customWidth="1"/>
    <col min="97" max="97" width="11" style="92" hidden="1" customWidth="1"/>
    <col min="98" max="98" width="3.33203125" style="92" hidden="1" customWidth="1"/>
    <col min="99" max="99" width="3.88671875" style="92" hidden="1" customWidth="1"/>
    <col min="100" max="100" width="4.44140625" style="92" hidden="1" customWidth="1"/>
    <col min="101" max="101" width="3.88671875" style="92" hidden="1" customWidth="1"/>
    <col min="102" max="102" width="3.44140625" style="92" hidden="1" customWidth="1"/>
    <col min="103" max="103" width="4.44140625" style="92" hidden="1" customWidth="1"/>
    <col min="104" max="104" width="9" style="92"/>
    <col min="105" max="105" width="8.88671875" style="92" bestFit="1" customWidth="1"/>
    <col min="106" max="107" width="6.6640625" style="95" customWidth="1"/>
    <col min="108" max="108" width="10.109375" style="95" customWidth="1"/>
    <col min="109" max="112" width="6.6640625" style="95" customWidth="1"/>
    <col min="113" max="113" width="10.109375" style="95" customWidth="1"/>
    <col min="114" max="120" width="6.6640625" style="95" customWidth="1"/>
    <col min="121" max="121" width="6.88671875" style="95" bestFit="1" customWidth="1"/>
    <col min="122" max="122" width="12.109375" style="95" customWidth="1"/>
    <col min="123" max="123" width="9.6640625" style="95" customWidth="1"/>
    <col min="124" max="129" width="6.6640625" style="95" customWidth="1"/>
    <col min="130" max="130" width="9.6640625" style="95" customWidth="1"/>
    <col min="131" max="134" width="6.6640625" style="95" customWidth="1"/>
    <col min="135" max="136" width="6.6640625" style="95" customWidth="1" outlineLevel="1"/>
    <col min="137" max="139" width="6.6640625" style="95" customWidth="1"/>
    <col min="140" max="141" width="6.6640625" style="95" customWidth="1" outlineLevel="1"/>
    <col min="142" max="157" width="6.6640625" style="95" customWidth="1"/>
    <col min="158" max="159" width="8.6640625" style="95" customWidth="1"/>
    <col min="160" max="160" width="6.6640625" style="95" customWidth="1"/>
    <col min="161" max="161" width="8.88671875" style="95" bestFit="1" customWidth="1"/>
    <col min="162" max="162" width="9" style="95"/>
    <col min="163" max="163" width="6.6640625" style="95" customWidth="1"/>
    <col min="164" max="164" width="10.109375" style="95" customWidth="1"/>
    <col min="165" max="165" width="6.6640625" style="95" customWidth="1"/>
    <col min="166" max="166" width="10" style="95" customWidth="1"/>
    <col min="167" max="169" width="6.6640625" style="95" customWidth="1"/>
    <col min="170" max="171" width="6.6640625" style="95" customWidth="1" outlineLevel="1"/>
    <col min="172" max="174" width="6.6640625" style="95" customWidth="1"/>
    <col min="175" max="177" width="6.6640625" style="95" hidden="1" customWidth="1" outlineLevel="1"/>
    <col min="178" max="178" width="6.6640625" style="95" customWidth="1" collapsed="1"/>
    <col min="179" max="180" width="6.6640625" style="95" customWidth="1"/>
    <col min="181" max="183" width="6.6640625" style="95" customWidth="1" outlineLevel="1"/>
    <col min="184" max="186" width="6.6640625" style="95" customWidth="1"/>
    <col min="187" max="187" width="10.88671875" style="95" customWidth="1"/>
    <col min="188" max="189" width="6.6640625" style="95" customWidth="1"/>
    <col min="190" max="190" width="6.6640625" style="92" customWidth="1"/>
    <col min="191" max="191" width="9.88671875" style="93" customWidth="1"/>
    <col min="192" max="192" width="9.44140625" style="93" customWidth="1"/>
    <col min="193" max="193" width="9.44140625" style="93" bestFit="1" customWidth="1"/>
    <col min="194" max="196" width="9" style="96"/>
    <col min="197" max="16384" width="9" style="92"/>
  </cols>
  <sheetData>
    <row r="1" spans="2:874" x14ac:dyDescent="0.2">
      <c r="C1" t="s">
        <v>413</v>
      </c>
      <c r="I1" s="94" t="s">
        <v>214</v>
      </c>
    </row>
    <row r="2" spans="2:874" x14ac:dyDescent="0.2">
      <c r="H2" s="97" t="s">
        <v>215</v>
      </c>
      <c r="I2" s="98"/>
      <c r="J2" s="99"/>
      <c r="K2" s="98"/>
      <c r="L2" s="99"/>
      <c r="M2" s="99"/>
      <c r="N2" s="98"/>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97"/>
      <c r="BU2" s="97"/>
      <c r="BV2" s="97"/>
      <c r="BW2" s="97"/>
      <c r="BX2" s="97"/>
      <c r="BY2" s="97"/>
      <c r="BZ2" s="97"/>
      <c r="CA2" s="97"/>
      <c r="CB2" s="97"/>
      <c r="CC2" s="97"/>
      <c r="CD2" s="97"/>
      <c r="CE2" s="97"/>
      <c r="CF2" s="97"/>
      <c r="CG2" s="101"/>
      <c r="CH2" s="98"/>
      <c r="CI2" s="98"/>
      <c r="CJ2" s="99"/>
      <c r="CK2" s="98"/>
      <c r="CL2" s="98"/>
      <c r="CM2" s="99"/>
      <c r="CN2" s="98"/>
      <c r="CO2" s="98"/>
      <c r="CP2" s="98"/>
      <c r="CQ2" s="98"/>
      <c r="CR2" s="98"/>
      <c r="CS2" s="98"/>
      <c r="CT2" s="98"/>
      <c r="CU2" s="98"/>
      <c r="CV2" s="98"/>
      <c r="CW2" s="98"/>
      <c r="CX2" s="98"/>
      <c r="CY2" s="98"/>
      <c r="DA2" s="102" t="s">
        <v>216</v>
      </c>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row>
    <row r="3" spans="2:874" s="128" customFormat="1" ht="54" x14ac:dyDescent="0.2">
      <c r="B3" s="103" t="s">
        <v>217</v>
      </c>
      <c r="C3" s="104" t="s">
        <v>218</v>
      </c>
      <c r="D3" s="105" t="s">
        <v>219</v>
      </c>
      <c r="E3" s="105"/>
      <c r="F3" s="106" t="s">
        <v>220</v>
      </c>
      <c r="G3" s="107" t="s">
        <v>221</v>
      </c>
      <c r="H3" s="109" t="s">
        <v>223</v>
      </c>
      <c r="I3" s="110" t="s">
        <v>224</v>
      </c>
      <c r="J3" s="111"/>
      <c r="K3" s="112"/>
      <c r="L3" s="113"/>
      <c r="M3" s="114" t="s">
        <v>225</v>
      </c>
      <c r="N3" s="115"/>
      <c r="O3" s="116" t="s">
        <v>226</v>
      </c>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483" t="s">
        <v>227</v>
      </c>
      <c r="AZ3" s="118" t="s">
        <v>228</v>
      </c>
      <c r="BA3" s="118"/>
      <c r="BB3" s="118"/>
      <c r="BC3" s="118"/>
      <c r="BD3" s="118"/>
      <c r="BE3" s="118"/>
      <c r="BF3" s="118"/>
      <c r="BG3" s="118"/>
      <c r="BH3" s="118"/>
      <c r="BI3" s="118"/>
      <c r="BJ3" s="118"/>
      <c r="BK3" s="118"/>
      <c r="BL3" s="118"/>
      <c r="BM3" s="118"/>
      <c r="BN3" s="118"/>
      <c r="BO3" s="118"/>
      <c r="BP3" s="118"/>
      <c r="BQ3" s="118"/>
      <c r="BR3" s="118"/>
      <c r="BS3" s="118"/>
      <c r="BT3" s="119" t="s">
        <v>229</v>
      </c>
      <c r="BU3" s="120"/>
      <c r="BV3" s="120"/>
      <c r="BW3" s="120"/>
      <c r="BX3" s="120"/>
      <c r="BY3" s="120"/>
      <c r="BZ3" s="120"/>
      <c r="CA3" s="120"/>
      <c r="CB3" s="120"/>
      <c r="CC3" s="120"/>
      <c r="CD3" s="120"/>
      <c r="CE3" s="120"/>
      <c r="CF3" s="121" t="s">
        <v>230</v>
      </c>
      <c r="CG3" s="122"/>
      <c r="CH3" s="123" t="s">
        <v>231</v>
      </c>
      <c r="CI3" s="124"/>
      <c r="CJ3" s="125" t="s">
        <v>232</v>
      </c>
      <c r="CK3" s="106" t="s">
        <v>233</v>
      </c>
      <c r="CL3" s="106" t="s">
        <v>234</v>
      </c>
      <c r="CM3" s="105" t="s">
        <v>235</v>
      </c>
      <c r="CN3" s="119" t="s">
        <v>236</v>
      </c>
      <c r="CO3" s="124"/>
      <c r="CP3" s="126" t="s">
        <v>237</v>
      </c>
      <c r="CQ3" s="120"/>
      <c r="CR3" s="120"/>
      <c r="CS3" s="127"/>
      <c r="CT3" s="124"/>
      <c r="CU3" s="126" t="s">
        <v>238</v>
      </c>
      <c r="CV3" s="124"/>
      <c r="CW3" s="485" t="s">
        <v>239</v>
      </c>
      <c r="CX3" s="486"/>
      <c r="CY3" s="487"/>
      <c r="DA3" s="108" t="s">
        <v>222</v>
      </c>
      <c r="DB3" s="116" t="s">
        <v>240</v>
      </c>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29"/>
      <c r="FF3" s="130" t="s">
        <v>241</v>
      </c>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18"/>
      <c r="GE3" s="118"/>
      <c r="GF3" s="118"/>
      <c r="GG3" s="118"/>
      <c r="GH3" s="126" t="s">
        <v>242</v>
      </c>
      <c r="GI3" s="132"/>
      <c r="GJ3" s="132"/>
      <c r="GK3" s="132"/>
      <c r="GL3" s="133"/>
      <c r="GM3" s="133"/>
      <c r="GN3" s="122"/>
    </row>
    <row r="4" spans="2:874" ht="36" x14ac:dyDescent="0.15">
      <c r="B4" s="134"/>
      <c r="C4" s="135"/>
      <c r="D4" s="136"/>
      <c r="E4" s="136"/>
      <c r="F4" s="137"/>
      <c r="G4" s="137"/>
      <c r="H4" s="138"/>
      <c r="I4" s="139" t="s">
        <v>243</v>
      </c>
      <c r="J4" s="140" t="s">
        <v>244</v>
      </c>
      <c r="K4" s="141" t="s">
        <v>245</v>
      </c>
      <c r="L4" s="140" t="s">
        <v>246</v>
      </c>
      <c r="M4" s="140"/>
      <c r="N4" s="139"/>
      <c r="O4" s="142"/>
      <c r="P4" s="143" t="s">
        <v>247</v>
      </c>
      <c r="Q4" s="144"/>
      <c r="R4" s="145" t="s">
        <v>248</v>
      </c>
      <c r="S4" s="146"/>
      <c r="T4" s="147"/>
      <c r="U4" s="148" t="s">
        <v>249</v>
      </c>
      <c r="V4" s="149"/>
      <c r="W4" s="150"/>
      <c r="X4" s="477" t="s">
        <v>250</v>
      </c>
      <c r="Y4" s="478"/>
      <c r="Z4" s="478"/>
      <c r="AA4" s="151"/>
      <c r="AB4" s="477" t="s">
        <v>251</v>
      </c>
      <c r="AC4" s="478"/>
      <c r="AD4" s="479"/>
      <c r="AE4" s="152" t="s">
        <v>252</v>
      </c>
      <c r="AF4" s="153"/>
      <c r="AG4" s="153"/>
      <c r="AH4" s="154"/>
      <c r="AI4" s="155" t="s">
        <v>253</v>
      </c>
      <c r="AJ4" s="156"/>
      <c r="AK4" s="156"/>
      <c r="AL4" s="157"/>
      <c r="AM4" s="158" t="s">
        <v>254</v>
      </c>
      <c r="AN4" s="159"/>
      <c r="AO4" s="159"/>
      <c r="AP4" s="159"/>
      <c r="AQ4" s="159"/>
      <c r="AR4" s="159"/>
      <c r="AS4" s="159"/>
      <c r="AT4" s="159"/>
      <c r="AU4" s="159"/>
      <c r="AV4" s="159"/>
      <c r="AW4" s="159"/>
      <c r="AX4" s="160"/>
      <c r="AY4" s="483"/>
      <c r="AZ4" s="142"/>
      <c r="BA4" s="161" t="s">
        <v>255</v>
      </c>
      <c r="BB4" s="161"/>
      <c r="BC4" s="162"/>
      <c r="BD4" s="152" t="s">
        <v>252</v>
      </c>
      <c r="BE4" s="153"/>
      <c r="BF4" s="153"/>
      <c r="BG4" s="154"/>
      <c r="BH4" s="148" t="s">
        <v>253</v>
      </c>
      <c r="BI4" s="149"/>
      <c r="BJ4" s="149"/>
      <c r="BK4" s="149"/>
      <c r="BL4" s="150"/>
      <c r="BM4" s="158" t="s">
        <v>256</v>
      </c>
      <c r="BN4" s="159"/>
      <c r="BO4" s="159"/>
      <c r="BP4" s="159"/>
      <c r="BQ4" s="159"/>
      <c r="BR4" s="160"/>
      <c r="BS4" s="163" t="s">
        <v>257</v>
      </c>
      <c r="BT4" s="164"/>
      <c r="BU4" s="165"/>
      <c r="BV4" s="165"/>
      <c r="BW4" s="165"/>
      <c r="BX4" s="165"/>
      <c r="BY4" s="165"/>
      <c r="BZ4" s="165"/>
      <c r="CA4" s="166"/>
      <c r="CB4" s="166"/>
      <c r="CC4" s="166"/>
      <c r="CD4" s="166"/>
      <c r="CE4" s="166"/>
      <c r="CF4" s="167"/>
      <c r="CG4" s="168"/>
      <c r="CH4" s="169"/>
      <c r="CI4" s="170"/>
      <c r="CJ4" s="171"/>
      <c r="CK4" s="137"/>
      <c r="CL4" s="172"/>
      <c r="CM4" s="136"/>
      <c r="CN4" s="173"/>
      <c r="CO4" s="174"/>
      <c r="CP4" s="169"/>
      <c r="CT4" s="170"/>
      <c r="CU4" s="169"/>
      <c r="CV4" s="170"/>
      <c r="CW4" s="488"/>
      <c r="CX4" s="489"/>
      <c r="CY4" s="490"/>
      <c r="DA4" s="137"/>
      <c r="DB4" s="142"/>
      <c r="DC4" s="143" t="s">
        <v>247</v>
      </c>
      <c r="DD4" s="175"/>
      <c r="DE4" s="175"/>
      <c r="DF4" s="175"/>
      <c r="DG4" s="145" t="s">
        <v>258</v>
      </c>
      <c r="DH4" s="146"/>
      <c r="DI4" s="146"/>
      <c r="DJ4" s="146"/>
      <c r="DK4" s="146"/>
      <c r="DL4" s="148" t="s">
        <v>414</v>
      </c>
      <c r="DM4" s="149"/>
      <c r="DN4" s="149"/>
      <c r="DO4" s="149"/>
      <c r="DP4" s="149"/>
      <c r="DQ4" s="149"/>
      <c r="DR4" s="149"/>
      <c r="DS4" s="149"/>
      <c r="DT4" s="150"/>
      <c r="DU4" s="478" t="s">
        <v>250</v>
      </c>
      <c r="DV4" s="478"/>
      <c r="DW4" s="478"/>
      <c r="DX4" s="478" t="s">
        <v>251</v>
      </c>
      <c r="DY4" s="478"/>
      <c r="DZ4" s="478"/>
      <c r="EA4" s="479"/>
      <c r="EB4" s="176"/>
      <c r="EC4" s="151"/>
      <c r="ED4" s="152" t="s">
        <v>252</v>
      </c>
      <c r="EE4" s="153"/>
      <c r="EF4" s="153"/>
      <c r="EG4" s="153"/>
      <c r="EH4" s="153"/>
      <c r="EI4" s="155" t="s">
        <v>253</v>
      </c>
      <c r="EJ4" s="156"/>
      <c r="EK4" s="156"/>
      <c r="EL4" s="156"/>
      <c r="EM4" s="157"/>
      <c r="EN4" s="158" t="s">
        <v>415</v>
      </c>
      <c r="EO4" s="159"/>
      <c r="EP4" s="159"/>
      <c r="EQ4" s="159"/>
      <c r="ER4" s="159"/>
      <c r="ES4" s="159"/>
      <c r="ET4" s="159"/>
      <c r="EU4" s="159"/>
      <c r="EV4" s="159"/>
      <c r="EW4" s="159"/>
      <c r="EX4" s="159"/>
      <c r="EY4" s="159"/>
      <c r="EZ4" s="159"/>
      <c r="FA4" s="159"/>
      <c r="FB4" s="159"/>
      <c r="FC4" s="159"/>
      <c r="FD4" s="177" t="s">
        <v>259</v>
      </c>
      <c r="FE4" s="177" t="s">
        <v>260</v>
      </c>
      <c r="FG4" s="178" t="s">
        <v>255</v>
      </c>
      <c r="FH4" s="161"/>
      <c r="FI4" s="161"/>
      <c r="FJ4" s="161"/>
      <c r="FK4" s="161"/>
      <c r="FL4" s="162"/>
      <c r="FM4" s="152" t="s">
        <v>252</v>
      </c>
      <c r="FN4" s="153"/>
      <c r="FO4" s="153"/>
      <c r="FP4" s="153"/>
      <c r="FQ4" s="154"/>
      <c r="FR4" s="148" t="s">
        <v>253</v>
      </c>
      <c r="FS4" s="149"/>
      <c r="FT4" s="149"/>
      <c r="FU4" s="149"/>
      <c r="FV4" s="149"/>
      <c r="FW4" s="150"/>
      <c r="FX4" s="158" t="s">
        <v>416</v>
      </c>
      <c r="FY4" s="159"/>
      <c r="FZ4" s="159"/>
      <c r="GA4" s="159"/>
      <c r="GB4" s="159"/>
      <c r="GC4" s="159"/>
      <c r="GD4" s="179"/>
      <c r="GE4" s="179"/>
      <c r="GF4" s="180" t="s">
        <v>261</v>
      </c>
      <c r="GG4" s="180" t="s">
        <v>260</v>
      </c>
      <c r="GH4" s="181"/>
      <c r="GI4" s="182"/>
      <c r="GJ4" s="182"/>
      <c r="GK4" s="182"/>
      <c r="GL4" s="183" t="s">
        <v>262</v>
      </c>
      <c r="GM4" s="183" t="s">
        <v>262</v>
      </c>
      <c r="GN4" s="184" t="s">
        <v>263</v>
      </c>
    </row>
    <row r="5" spans="2:874" s="210" customFormat="1" ht="183.6" x14ac:dyDescent="0.2">
      <c r="B5" s="185" t="s">
        <v>264</v>
      </c>
      <c r="C5" s="186"/>
      <c r="D5" s="187"/>
      <c r="E5" s="188" t="s">
        <v>265</v>
      </c>
      <c r="F5" s="189" t="s">
        <v>266</v>
      </c>
      <c r="G5" s="189"/>
      <c r="H5" s="190"/>
      <c r="I5" s="191"/>
      <c r="J5" s="192"/>
      <c r="K5" s="106"/>
      <c r="L5" s="192"/>
      <c r="M5" s="105" t="s">
        <v>267</v>
      </c>
      <c r="N5" s="106" t="s">
        <v>268</v>
      </c>
      <c r="O5" s="193" t="s">
        <v>269</v>
      </c>
      <c r="P5" s="194" t="s">
        <v>270</v>
      </c>
      <c r="Q5" s="180" t="s">
        <v>271</v>
      </c>
      <c r="R5" s="195" t="s">
        <v>272</v>
      </c>
      <c r="S5" s="194" t="s">
        <v>270</v>
      </c>
      <c r="T5" s="180" t="s">
        <v>271</v>
      </c>
      <c r="U5" s="195" t="s">
        <v>272</v>
      </c>
      <c r="V5" s="194" t="s">
        <v>270</v>
      </c>
      <c r="W5" s="180" t="s">
        <v>271</v>
      </c>
      <c r="X5" s="196" t="s">
        <v>272</v>
      </c>
      <c r="Y5" s="197" t="s">
        <v>273</v>
      </c>
      <c r="Z5" s="196" t="s">
        <v>274</v>
      </c>
      <c r="AA5" s="198" t="s">
        <v>275</v>
      </c>
      <c r="AB5" s="196" t="s">
        <v>272</v>
      </c>
      <c r="AC5" s="197" t="s">
        <v>276</v>
      </c>
      <c r="AD5" s="196" t="s">
        <v>274</v>
      </c>
      <c r="AE5" s="195" t="s">
        <v>272</v>
      </c>
      <c r="AF5" s="194" t="s">
        <v>277</v>
      </c>
      <c r="AG5" s="199" t="s">
        <v>278</v>
      </c>
      <c r="AH5" s="180" t="s">
        <v>271</v>
      </c>
      <c r="AI5" s="195" t="s">
        <v>279</v>
      </c>
      <c r="AJ5" s="194" t="s">
        <v>280</v>
      </c>
      <c r="AK5" s="194" t="s">
        <v>281</v>
      </c>
      <c r="AL5" s="180" t="s">
        <v>271</v>
      </c>
      <c r="AM5" s="196" t="s">
        <v>279</v>
      </c>
      <c r="AN5" s="193" t="s">
        <v>282</v>
      </c>
      <c r="AO5" s="193" t="s">
        <v>283</v>
      </c>
      <c r="AP5" s="193" t="s">
        <v>284</v>
      </c>
      <c r="AQ5" s="193" t="s">
        <v>285</v>
      </c>
      <c r="AR5" s="193" t="s">
        <v>286</v>
      </c>
      <c r="AS5" s="193" t="s">
        <v>287</v>
      </c>
      <c r="AT5" s="193" t="s">
        <v>288</v>
      </c>
      <c r="AU5" s="196" t="s">
        <v>289</v>
      </c>
      <c r="AV5" s="198" t="s">
        <v>271</v>
      </c>
      <c r="AW5" s="193" t="s">
        <v>290</v>
      </c>
      <c r="AX5" s="193" t="s">
        <v>291</v>
      </c>
      <c r="AY5" s="484"/>
      <c r="AZ5" s="200" t="s">
        <v>292</v>
      </c>
      <c r="BA5" s="201" t="s">
        <v>293</v>
      </c>
      <c r="BB5" s="202" t="s">
        <v>294</v>
      </c>
      <c r="BC5" s="198" t="s">
        <v>295</v>
      </c>
      <c r="BD5" s="195" t="s">
        <v>272</v>
      </c>
      <c r="BE5" s="194" t="s">
        <v>296</v>
      </c>
      <c r="BF5" s="199" t="s">
        <v>297</v>
      </c>
      <c r="BG5" s="180" t="s">
        <v>295</v>
      </c>
      <c r="BH5" s="195" t="s">
        <v>272</v>
      </c>
      <c r="BI5" s="194" t="s">
        <v>298</v>
      </c>
      <c r="BJ5" s="194" t="s">
        <v>299</v>
      </c>
      <c r="BK5" s="194" t="s">
        <v>300</v>
      </c>
      <c r="BL5" s="180" t="s">
        <v>295</v>
      </c>
      <c r="BM5" s="195" t="s">
        <v>279</v>
      </c>
      <c r="BN5" s="194" t="s">
        <v>301</v>
      </c>
      <c r="BO5" s="194" t="s">
        <v>302</v>
      </c>
      <c r="BP5" s="194" t="s">
        <v>303</v>
      </c>
      <c r="BQ5" s="180" t="s">
        <v>304</v>
      </c>
      <c r="BR5" s="193" t="s">
        <v>291</v>
      </c>
      <c r="BS5" s="203" t="s">
        <v>305</v>
      </c>
      <c r="BT5" s="480" t="s">
        <v>306</v>
      </c>
      <c r="BU5" s="481"/>
      <c r="BV5" s="481"/>
      <c r="BW5" s="481"/>
      <c r="BX5" s="481"/>
      <c r="BY5" s="482"/>
      <c r="BZ5" s="480" t="s">
        <v>307</v>
      </c>
      <c r="CA5" s="481"/>
      <c r="CB5" s="481"/>
      <c r="CC5" s="481"/>
      <c r="CD5" s="481"/>
      <c r="CE5" s="482"/>
      <c r="CF5" s="204" t="s">
        <v>308</v>
      </c>
      <c r="CG5" s="205" t="s">
        <v>309</v>
      </c>
      <c r="CH5" s="206" t="s">
        <v>310</v>
      </c>
      <c r="CI5" s="206" t="s">
        <v>311</v>
      </c>
      <c r="CJ5" s="207" t="s">
        <v>312</v>
      </c>
      <c r="CK5" s="206" t="s">
        <v>313</v>
      </c>
      <c r="CL5" s="206" t="s">
        <v>314</v>
      </c>
      <c r="CM5" s="207" t="s">
        <v>315</v>
      </c>
      <c r="CN5" s="204" t="s">
        <v>316</v>
      </c>
      <c r="CO5" s="139" t="s">
        <v>317</v>
      </c>
      <c r="CP5" s="206" t="s">
        <v>318</v>
      </c>
      <c r="CQ5" s="208" t="s">
        <v>319</v>
      </c>
      <c r="CR5" s="208" t="s">
        <v>320</v>
      </c>
      <c r="CS5" s="206" t="s">
        <v>321</v>
      </c>
      <c r="CT5" s="206" t="s">
        <v>322</v>
      </c>
      <c r="CU5" s="206" t="s">
        <v>323</v>
      </c>
      <c r="CV5" s="206" t="s">
        <v>324</v>
      </c>
      <c r="CW5" s="209" t="s">
        <v>325</v>
      </c>
      <c r="CX5" s="209" t="s">
        <v>326</v>
      </c>
      <c r="CY5" s="209" t="s">
        <v>327</v>
      </c>
      <c r="DA5" s="189"/>
      <c r="DB5" s="193" t="s">
        <v>269</v>
      </c>
      <c r="DC5" s="193" t="s">
        <v>270</v>
      </c>
      <c r="DD5" s="193" t="s">
        <v>328</v>
      </c>
      <c r="DE5" s="211" t="s">
        <v>329</v>
      </c>
      <c r="DF5" s="211" t="s">
        <v>330</v>
      </c>
      <c r="DG5" s="196" t="s">
        <v>272</v>
      </c>
      <c r="DH5" s="193" t="s">
        <v>270</v>
      </c>
      <c r="DI5" s="193" t="s">
        <v>331</v>
      </c>
      <c r="DJ5" s="212" t="s">
        <v>329</v>
      </c>
      <c r="DK5" s="212" t="s">
        <v>330</v>
      </c>
      <c r="DL5" s="196" t="s">
        <v>272</v>
      </c>
      <c r="DM5" s="275" t="s">
        <v>417</v>
      </c>
      <c r="DN5" s="196" t="s">
        <v>274</v>
      </c>
      <c r="DO5" s="196" t="s">
        <v>272</v>
      </c>
      <c r="DP5" s="276" t="s">
        <v>418</v>
      </c>
      <c r="DQ5" s="196" t="s">
        <v>274</v>
      </c>
      <c r="DR5" s="193" t="s">
        <v>419</v>
      </c>
      <c r="DS5" s="212" t="s">
        <v>329</v>
      </c>
      <c r="DT5" s="212" t="s">
        <v>330</v>
      </c>
      <c r="DU5" s="196" t="s">
        <v>272</v>
      </c>
      <c r="DV5" s="197" t="s">
        <v>273</v>
      </c>
      <c r="DW5" s="196" t="s">
        <v>274</v>
      </c>
      <c r="DX5" s="196" t="s">
        <v>272</v>
      </c>
      <c r="DY5" s="197" t="s">
        <v>276</v>
      </c>
      <c r="DZ5" s="213" t="s">
        <v>333</v>
      </c>
      <c r="EA5" s="196" t="s">
        <v>274</v>
      </c>
      <c r="EB5" s="212" t="s">
        <v>329</v>
      </c>
      <c r="EC5" s="212" t="s">
        <v>330</v>
      </c>
      <c r="ED5" s="196" t="s">
        <v>272</v>
      </c>
      <c r="EE5" s="193" t="s">
        <v>277</v>
      </c>
      <c r="EF5" s="193" t="s">
        <v>278</v>
      </c>
      <c r="EG5" s="212" t="s">
        <v>329</v>
      </c>
      <c r="EH5" s="212" t="s">
        <v>330</v>
      </c>
      <c r="EI5" s="196" t="s">
        <v>279</v>
      </c>
      <c r="EJ5" s="193" t="s">
        <v>280</v>
      </c>
      <c r="EK5" s="193" t="s">
        <v>281</v>
      </c>
      <c r="EL5" s="212" t="s">
        <v>329</v>
      </c>
      <c r="EM5" s="212" t="s">
        <v>330</v>
      </c>
      <c r="EN5" s="196" t="s">
        <v>279</v>
      </c>
      <c r="EO5" s="193" t="s">
        <v>282</v>
      </c>
      <c r="EP5" s="193" t="s">
        <v>283</v>
      </c>
      <c r="EQ5" s="193" t="s">
        <v>284</v>
      </c>
      <c r="ER5" s="193" t="s">
        <v>285</v>
      </c>
      <c r="ES5" s="193" t="s">
        <v>286</v>
      </c>
      <c r="ET5" s="193" t="s">
        <v>287</v>
      </c>
      <c r="EU5" s="193" t="s">
        <v>288</v>
      </c>
      <c r="EV5" s="196" t="s">
        <v>289</v>
      </c>
      <c r="EW5" s="212" t="s">
        <v>329</v>
      </c>
      <c r="EX5" s="212" t="s">
        <v>330</v>
      </c>
      <c r="EY5" s="193" t="s">
        <v>290</v>
      </c>
      <c r="EZ5" s="193" t="s">
        <v>291</v>
      </c>
      <c r="FA5" s="193" t="s">
        <v>291</v>
      </c>
      <c r="FB5" s="193" t="s">
        <v>334</v>
      </c>
      <c r="FC5" s="193" t="s">
        <v>335</v>
      </c>
      <c r="FD5" s="214"/>
      <c r="FE5" s="214"/>
      <c r="FF5" s="215" t="s">
        <v>292</v>
      </c>
      <c r="FG5" s="216" t="s">
        <v>293</v>
      </c>
      <c r="FH5" s="217" t="s">
        <v>336</v>
      </c>
      <c r="FI5" s="218" t="s">
        <v>294</v>
      </c>
      <c r="FJ5" s="218" t="s">
        <v>333</v>
      </c>
      <c r="FK5" s="212" t="s">
        <v>329</v>
      </c>
      <c r="FL5" s="212" t="s">
        <v>330</v>
      </c>
      <c r="FM5" s="196" t="s">
        <v>272</v>
      </c>
      <c r="FN5" s="193" t="s">
        <v>337</v>
      </c>
      <c r="FO5" s="193" t="s">
        <v>338</v>
      </c>
      <c r="FP5" s="212" t="s">
        <v>329</v>
      </c>
      <c r="FQ5" s="212" t="s">
        <v>330</v>
      </c>
      <c r="FR5" s="196" t="s">
        <v>339</v>
      </c>
      <c r="FS5" s="193" t="s">
        <v>340</v>
      </c>
      <c r="FT5" s="193" t="s">
        <v>341</v>
      </c>
      <c r="FU5" s="193" t="s">
        <v>342</v>
      </c>
      <c r="FV5" s="212" t="s">
        <v>329</v>
      </c>
      <c r="FW5" s="212" t="s">
        <v>330</v>
      </c>
      <c r="FX5" s="196" t="s">
        <v>339</v>
      </c>
      <c r="FY5" s="193" t="s">
        <v>301</v>
      </c>
      <c r="FZ5" s="193" t="s">
        <v>302</v>
      </c>
      <c r="GA5" s="193" t="s">
        <v>303</v>
      </c>
      <c r="GB5" s="212" t="s">
        <v>329</v>
      </c>
      <c r="GC5" s="212" t="s">
        <v>330</v>
      </c>
      <c r="GD5" s="219" t="s">
        <v>291</v>
      </c>
      <c r="GE5" s="219" t="s">
        <v>334</v>
      </c>
      <c r="GF5" s="212"/>
      <c r="GG5" s="212"/>
      <c r="GH5" s="220" t="s">
        <v>343</v>
      </c>
      <c r="GI5" s="221" t="s">
        <v>344</v>
      </c>
      <c r="GJ5" s="221" t="s">
        <v>345</v>
      </c>
      <c r="GK5" s="221" t="s">
        <v>346</v>
      </c>
      <c r="GL5" s="222" t="s">
        <v>347</v>
      </c>
      <c r="GM5" s="222" t="s">
        <v>348</v>
      </c>
      <c r="GN5" s="222" t="s">
        <v>349</v>
      </c>
    </row>
    <row r="6" spans="2:874" customFormat="1" ht="15.75" hidden="1" customHeight="1" x14ac:dyDescent="0.2">
      <c r="B6" s="223" t="str">
        <f t="shared" ref="B6:B11" si="0">IF(GK6&gt;0,"支払済",IF(GH6="取下",GH6,IF(GH6="取消",GH6,"")))</f>
        <v>支払済</v>
      </c>
      <c r="C6" s="224" t="s">
        <v>350</v>
      </c>
      <c r="D6" s="225" t="s">
        <v>351</v>
      </c>
      <c r="E6" s="226" t="str">
        <f>IF(D6="登録","登録",IF(D5="登録","建売購入",""))</f>
        <v/>
      </c>
      <c r="F6" s="227"/>
      <c r="G6" s="227"/>
      <c r="H6" s="228">
        <v>43191</v>
      </c>
      <c r="I6" s="229" t="s">
        <v>352</v>
      </c>
      <c r="J6" s="230" t="s">
        <v>353</v>
      </c>
      <c r="K6" s="229"/>
      <c r="L6" s="230" t="s">
        <v>354</v>
      </c>
      <c r="M6" s="230" t="s">
        <v>355</v>
      </c>
      <c r="N6" s="229" t="s">
        <v>356</v>
      </c>
      <c r="O6" s="231">
        <v>35</v>
      </c>
      <c r="P6" s="231">
        <v>25</v>
      </c>
      <c r="Q6" s="232">
        <f>IF(P6&gt;=10,150,0)</f>
        <v>150</v>
      </c>
      <c r="R6" s="231">
        <f>IF(S6&gt;=1,1,"")</f>
        <v>1</v>
      </c>
      <c r="S6" s="231">
        <v>19</v>
      </c>
      <c r="T6" s="233">
        <f>IF(Q6=0,0,IF(S6&gt;=25,MIN(250,ROUNDDOWN(S6*10,-1)),IF(S6&gt;=20,MIN(200,ROUNDDOWN(S6*10,-1)),IF(S6&gt;=15,MIN(150,ROUNDDOWN(S6*10,-1)),MIN(100,ROUNDDOWN(S6*10,-1))))))</f>
        <v>150</v>
      </c>
      <c r="U6" s="231">
        <f>IF(V6&gt;=1,1,"")</f>
        <v>1</v>
      </c>
      <c r="V6" s="231">
        <v>7</v>
      </c>
      <c r="W6" s="233">
        <f>IF(AND(Q6&gt;0,V6&gt;=1),MIN(INT(V6)*20,200),0)</f>
        <v>140</v>
      </c>
      <c r="X6" s="231">
        <f>IF(Y6&gt;=1,1,"")</f>
        <v>1</v>
      </c>
      <c r="Y6" s="231">
        <v>1</v>
      </c>
      <c r="Z6" s="231">
        <f>IF(Y6&gt;=1,50,0)</f>
        <v>50</v>
      </c>
      <c r="AA6" s="232">
        <f t="shared" ref="AA6:AA11" si="1">IF(OR(AD6&gt;0,Z6&gt;0),MIN(AD6+Z6,150),0)</f>
        <v>72</v>
      </c>
      <c r="AB6" s="231">
        <f>IF(AC6&gt;=1,1,"")</f>
        <v>1</v>
      </c>
      <c r="AC6" s="231">
        <v>11</v>
      </c>
      <c r="AD6" s="231">
        <f t="shared" ref="AD6:AD11" si="2">IF(AND(Q6&gt;0,AC6&gt;=1),MIN(INT(AC6)*2,150),0)</f>
        <v>22</v>
      </c>
      <c r="AE6" s="231">
        <f>IF(OR(AF6=1,AG6=1),1,"")</f>
        <v>1</v>
      </c>
      <c r="AF6" s="231"/>
      <c r="AG6" s="231">
        <v>1</v>
      </c>
      <c r="AH6" s="232">
        <f>IF(AND(Q6&gt;0,AE6=1,[1]【様式第６号】事業報告書兼チェックシート!B59=""),100,0)</f>
        <v>100</v>
      </c>
      <c r="AI6" s="231">
        <f>IF(OR(AJ6=1,AK6=1),1,"")</f>
        <v>1</v>
      </c>
      <c r="AJ6" s="231">
        <v>1</v>
      </c>
      <c r="AK6" s="231"/>
      <c r="AL6" s="232">
        <f t="shared" ref="AL6:AL11" si="3">IF(AND(Q6&gt;0,AE6=1,AI6=1),100,0)</f>
        <v>100</v>
      </c>
      <c r="AM6" s="231">
        <f>IF(AU6&gt;=4,1,"")</f>
        <v>1</v>
      </c>
      <c r="AN6" s="231"/>
      <c r="AO6" s="231"/>
      <c r="AP6" s="231">
        <v>1</v>
      </c>
      <c r="AQ6" s="231">
        <v>2</v>
      </c>
      <c r="AR6" s="231"/>
      <c r="AS6" s="231">
        <v>1</v>
      </c>
      <c r="AT6" s="231">
        <v>1</v>
      </c>
      <c r="AU6" s="231">
        <f>SUM(AN6:AT6)</f>
        <v>5</v>
      </c>
      <c r="AV6" s="232">
        <f>IF(AU6&gt;=4,200,0)</f>
        <v>200</v>
      </c>
      <c r="AW6" s="234" t="s">
        <v>357</v>
      </c>
      <c r="AX6" s="234" t="s">
        <v>358</v>
      </c>
      <c r="AY6" s="232">
        <f t="shared" ref="AY6:AY11" si="4">IF(OR(D6="新築",D6="登録"),MIN(1000,Q6+T6+W6+AA6+AH6+AL6+AV6),0)</f>
        <v>912</v>
      </c>
      <c r="AZ6" s="234"/>
      <c r="BA6" s="235"/>
      <c r="BB6" s="234"/>
      <c r="BC6" s="232">
        <f>MIN(ROUNDDOWN(BA6,1)*20+INT(BB6)*2,250)</f>
        <v>0</v>
      </c>
      <c r="BD6" s="231" t="str">
        <f>IF(OR(BE6=1,BF6=1),1,"")</f>
        <v/>
      </c>
      <c r="BE6" s="234"/>
      <c r="BF6" s="234"/>
      <c r="BG6" s="232" t="e">
        <f>IF(AND(BC6&gt;0,BD6=1,#REF!=""),100,0)</f>
        <v>#REF!</v>
      </c>
      <c r="BH6" s="231" t="str">
        <f>IF(OR(BI6=1,BJ6=1,BK6=1),1,"")</f>
        <v/>
      </c>
      <c r="BI6" s="234"/>
      <c r="BJ6" s="234"/>
      <c r="BK6" s="234"/>
      <c r="BL6" s="232">
        <f>IF(AND(BC6&gt;0,BH6=1),100,IF(AND(BC6&gt;0,BK6=1),100,0))</f>
        <v>0</v>
      </c>
      <c r="BM6" s="231" t="str">
        <f>IF(OR(AND(BN6&gt;=7,BO6&gt;=7,BN6+BO6&gt;=14),AND(BN6&gt;=7,BP6&gt;=3,BN6+BP6&gt;=10),AND(BO6&gt;=7,BP6&gt;=3,BO6+BP6&gt;=10)),1,"")</f>
        <v/>
      </c>
      <c r="BN6" s="234"/>
      <c r="BO6" s="234"/>
      <c r="BP6" s="234"/>
      <c r="BQ6" s="232">
        <f>IF(AND(BM6=1,BC6&gt;0),MIN(150,ROUNDDOWN(BN6*11+BO6*13+BP6*19,0)),0)</f>
        <v>0</v>
      </c>
      <c r="BR6" s="234"/>
      <c r="BS6" s="232">
        <f t="shared" ref="BS6:BS11" si="5">IF(D6="改修",MIN(500,BC6+BG6+BL6+BQ6,INT(CL6*10/2)),0)</f>
        <v>0</v>
      </c>
      <c r="BT6" s="236"/>
      <c r="BU6" s="237" t="s">
        <v>9</v>
      </c>
      <c r="BV6" s="238"/>
      <c r="BW6" s="237" t="s">
        <v>359</v>
      </c>
      <c r="BX6" s="238"/>
      <c r="BY6" s="239" t="s">
        <v>8</v>
      </c>
      <c r="BZ6" s="236"/>
      <c r="CA6" s="237" t="s">
        <v>9</v>
      </c>
      <c r="CB6" s="238"/>
      <c r="CC6" s="237" t="s">
        <v>359</v>
      </c>
      <c r="CD6" s="238"/>
      <c r="CE6" s="239" t="s">
        <v>8</v>
      </c>
      <c r="CF6" s="228">
        <v>43200</v>
      </c>
      <c r="CG6" s="240">
        <f>AY6+BS6</f>
        <v>912</v>
      </c>
      <c r="CH6" s="229" t="s">
        <v>360</v>
      </c>
      <c r="CI6" s="229" t="s">
        <v>361</v>
      </c>
      <c r="CJ6" s="225" t="s">
        <v>362</v>
      </c>
      <c r="CK6" s="229">
        <v>120</v>
      </c>
      <c r="CL6" s="241">
        <v>2500</v>
      </c>
      <c r="CM6" s="230" t="s">
        <v>363</v>
      </c>
      <c r="CN6" s="228"/>
      <c r="CO6" s="227"/>
      <c r="CP6" s="227"/>
      <c r="CQ6" s="228"/>
      <c r="CR6" s="228"/>
      <c r="CS6" s="227"/>
      <c r="CT6" s="227"/>
      <c r="CU6" s="227"/>
      <c r="CV6" s="227"/>
      <c r="CW6" s="227"/>
      <c r="CX6" s="227"/>
      <c r="CY6" s="227"/>
      <c r="DA6" s="227"/>
      <c r="DB6" s="231">
        <v>30</v>
      </c>
      <c r="DC6" s="231">
        <v>25</v>
      </c>
      <c r="DD6" s="234" t="s">
        <v>364</v>
      </c>
      <c r="DE6" s="232">
        <f t="shared" ref="DE6:DE10" si="6">IF(DC6&gt;=10,150,0)</f>
        <v>150</v>
      </c>
      <c r="DF6" s="232">
        <f t="shared" ref="DF6:DF10" si="7">MIN(Q6,DE6)</f>
        <v>150</v>
      </c>
      <c r="DG6" s="231">
        <f>IF(DH6&gt;=1,1,"")</f>
        <v>1</v>
      </c>
      <c r="DH6" s="231">
        <v>18</v>
      </c>
      <c r="DI6" s="234" t="s">
        <v>364</v>
      </c>
      <c r="DJ6" s="233">
        <f>IF(DE6=0,0,IF(DH6&gt;=25,MIN(250,ROUNDDOWN(DH6*10,-1)),IF(DH6&gt;=20,MIN(200,ROUNDDOWN(DH6*10,-1)),IF(DH6&gt;=15,MIN(150,ROUNDDOWN(DH6*10,-1)),MIN(100,ROUNDDOWN(DH6*10,-1))))))</f>
        <v>150</v>
      </c>
      <c r="DK6" s="232">
        <f t="shared" ref="DK6:DK10" si="8">MIN(T6,DJ6)</f>
        <v>150</v>
      </c>
      <c r="DL6" s="231">
        <f>IF(DM6&gt;=1,1,"")</f>
        <v>1</v>
      </c>
      <c r="DM6" s="231">
        <v>10</v>
      </c>
      <c r="DN6" s="231"/>
      <c r="DO6" s="231" t="str">
        <f>IF(DP6&gt;=1,1,"")</f>
        <v/>
      </c>
      <c r="DP6" s="231"/>
      <c r="DQ6" s="234"/>
      <c r="DR6" s="234"/>
      <c r="DS6" s="233">
        <f>IF(AND(DE6&gt;0,DM6&gt;=1),MIN(INT(DM6)*20,200),0)</f>
        <v>200</v>
      </c>
      <c r="DT6" s="232">
        <f>MIN(W6,DS6)</f>
        <v>140</v>
      </c>
      <c r="DU6" s="231" t="str">
        <f>IF(DV6&gt;=1,1,"")</f>
        <v/>
      </c>
      <c r="DV6" s="231"/>
      <c r="DW6" s="231">
        <f t="shared" ref="DW6:DW10" si="9">IF(AND(DV6&gt;=1,DE6&gt;=1),50,0)</f>
        <v>0</v>
      </c>
      <c r="DX6" s="231">
        <f>IF(DY6&gt;=1,1,"")</f>
        <v>1</v>
      </c>
      <c r="DY6" s="231">
        <v>15</v>
      </c>
      <c r="DZ6" s="234" t="s">
        <v>366</v>
      </c>
      <c r="EA6" s="231">
        <f>IF(AND(DE6&gt;0,DY6&gt;=1),MIN(INT(DY6)*2,150),0)</f>
        <v>30</v>
      </c>
      <c r="EB6" s="232">
        <f t="shared" ref="EB6:EB10" si="10">IF(OR(EA6&gt;0,DW6&gt;0),MIN(EA6+DW6,150),0)</f>
        <v>30</v>
      </c>
      <c r="EC6" s="232">
        <f>MIN(AA6,EB6)</f>
        <v>30</v>
      </c>
      <c r="ED6" s="231">
        <f>IF(OR(EE6=1,EF6=1),1,"")</f>
        <v>1</v>
      </c>
      <c r="EE6" s="231">
        <v>1</v>
      </c>
      <c r="EF6" s="231"/>
      <c r="EG6" s="232">
        <f>IF(AND(DE6&gt;0,ED6=1,[1]【様式第６号】事業報告書兼チェックシート!B59=""),100,0)</f>
        <v>100</v>
      </c>
      <c r="EH6" s="232">
        <f>MIN(AH6,EG6)</f>
        <v>100</v>
      </c>
      <c r="EI6" s="231">
        <f>IF(OR(EJ6=1,EK6=1),1,"")</f>
        <v>1</v>
      </c>
      <c r="EJ6" s="231">
        <v>1</v>
      </c>
      <c r="EK6" s="231"/>
      <c r="EL6" s="232">
        <f t="shared" ref="EL6:EL10" si="11">IF(AND(DE6&gt;0,ED6=1,EI6=1),100,0)</f>
        <v>100</v>
      </c>
      <c r="EM6" s="232">
        <f>MIN(AL6,EL6)</f>
        <v>100</v>
      </c>
      <c r="EN6" s="231">
        <f>IF(EV6&gt;=4,1,"")</f>
        <v>1</v>
      </c>
      <c r="EO6" s="231"/>
      <c r="EP6" s="231"/>
      <c r="EQ6" s="231"/>
      <c r="ER6" s="231">
        <v>2</v>
      </c>
      <c r="ES6" s="231"/>
      <c r="ET6" s="231">
        <v>1</v>
      </c>
      <c r="EU6" s="231">
        <v>1</v>
      </c>
      <c r="EV6" s="231">
        <f>SUM(EO6:EU6)</f>
        <v>4</v>
      </c>
      <c r="EW6" s="232">
        <f>IF(EV6&gt;=4,200,0)</f>
        <v>200</v>
      </c>
      <c r="EX6" s="232">
        <f>MIN(AV6,EW6)</f>
        <v>200</v>
      </c>
      <c r="EY6" s="234" t="s">
        <v>357</v>
      </c>
      <c r="EZ6" s="234"/>
      <c r="FA6" s="234"/>
      <c r="FB6" s="234"/>
      <c r="FC6" s="234" t="s">
        <v>367</v>
      </c>
      <c r="FD6" s="232">
        <f>IF(D6="新築",MIN(1500,CG6,MIN(DF6+DK6+DT6+EC6+EH6+EM6+EX6,1000)),0)</f>
        <v>870</v>
      </c>
      <c r="FE6" s="232">
        <f>AY6-FD6</f>
        <v>42</v>
      </c>
      <c r="FF6" s="234"/>
      <c r="FG6" s="242"/>
      <c r="FH6" s="242"/>
      <c r="FI6" s="234"/>
      <c r="FJ6" s="234"/>
      <c r="FK6" s="232">
        <f>MIN(ROUNDDOWN(FG6,1)*20+INT(FI6)*2,250)</f>
        <v>0</v>
      </c>
      <c r="FL6" s="232">
        <f>MIN(BC6,FK6)</f>
        <v>0</v>
      </c>
      <c r="FM6" s="231" t="str">
        <f>IF(OR(FN6=1,FO6=1),1,"")</f>
        <v/>
      </c>
      <c r="FN6" s="234"/>
      <c r="FO6" s="234"/>
      <c r="FP6" s="232" t="e">
        <f>IF(AND(FK6&gt;0,FM6=1,#REF!=""),100,0)</f>
        <v>#REF!</v>
      </c>
      <c r="FQ6" s="232" t="e">
        <f>MIN(BG6,FP6)</f>
        <v>#REF!</v>
      </c>
      <c r="FR6" s="231" t="str">
        <f>IF(OR(FS6=1,FT6=1,FU6=1),1,"")</f>
        <v/>
      </c>
      <c r="FS6" s="234"/>
      <c r="FT6" s="234"/>
      <c r="FU6" s="234"/>
      <c r="FV6" s="232">
        <f>IF(AND(FK6&gt;0,FR6=1),100,IF(AND(FK6&gt;0,FU6=1),100,0))</f>
        <v>0</v>
      </c>
      <c r="FW6" s="232">
        <f>MIN(BL6,FV6)</f>
        <v>0</v>
      </c>
      <c r="FX6" s="231" t="str">
        <f>IF(OR(AND(FY6&gt;=7,FZ6&gt;=7,FY6+FZ6&gt;=14),AND(FY6&gt;=7,GA6&gt;=3,FY6+GA6&gt;=10),AND(FZ6&gt;=7,GA6&gt;=3,FZ6+GA6&gt;=10)),1,"")</f>
        <v/>
      </c>
      <c r="FY6" s="234"/>
      <c r="FZ6" s="234"/>
      <c r="GA6" s="234"/>
      <c r="GB6" s="232">
        <f>IF(AND(FX6=1,FK6&gt;0),MIN(150,ROUNDDOWN(FY6*11+FZ6*13+GA6*19,0)),0)</f>
        <v>0</v>
      </c>
      <c r="GC6" s="232">
        <f>MIN(BQ6,GB6)</f>
        <v>0</v>
      </c>
      <c r="GD6" s="234"/>
      <c r="GE6" s="234"/>
      <c r="GF6" s="232">
        <f>IF(D6="改修",MIN(500,FL6+FQ6+FW6+GC6,INT(CL6*10/2)),0)</f>
        <v>0</v>
      </c>
      <c r="GG6" s="232">
        <f>BS6-GF6</f>
        <v>0</v>
      </c>
      <c r="GH6" s="227" t="s">
        <v>368</v>
      </c>
      <c r="GI6" s="228">
        <v>43374</v>
      </c>
      <c r="GJ6" s="228">
        <v>43378</v>
      </c>
      <c r="GK6" s="228">
        <v>43391</v>
      </c>
      <c r="GL6" s="240">
        <f>IF(D6="新築",AY6,IF(D6="改修",BS6,0))</f>
        <v>912</v>
      </c>
      <c r="GM6" s="240">
        <f t="shared" ref="GM6:GM11" si="12">IF(D6="新築",FD6,IF(D6="改修",GF6,0))</f>
        <v>870</v>
      </c>
      <c r="GN6" s="240">
        <f>GL6-GM6</f>
        <v>42</v>
      </c>
    </row>
    <row r="7" spans="2:874" s="243" customFormat="1" hidden="1" x14ac:dyDescent="0.2">
      <c r="B7" s="223" t="str">
        <f t="shared" si="0"/>
        <v>支払済</v>
      </c>
      <c r="C7" s="224" t="s">
        <v>369</v>
      </c>
      <c r="D7" s="225" t="s">
        <v>370</v>
      </c>
      <c r="E7" s="226" t="str">
        <f t="shared" ref="E7:E11" si="13">IF(D7="登録","登録",IF(D6="登録","建売購入",""))</f>
        <v/>
      </c>
      <c r="F7" s="227"/>
      <c r="G7" s="227"/>
      <c r="H7" s="228">
        <v>43191</v>
      </c>
      <c r="I7" s="229" t="s">
        <v>371</v>
      </c>
      <c r="J7" s="230" t="s">
        <v>372</v>
      </c>
      <c r="K7" s="229"/>
      <c r="L7" s="230" t="s">
        <v>373</v>
      </c>
      <c r="M7" s="230" t="s">
        <v>99</v>
      </c>
      <c r="N7" s="229" t="s">
        <v>374</v>
      </c>
      <c r="O7" s="234"/>
      <c r="P7" s="234"/>
      <c r="Q7" s="232">
        <f>IF(P7&gt;=10,150,0)</f>
        <v>0</v>
      </c>
      <c r="R7" s="231" t="str">
        <f>IF(S7&gt;=1,1,"")</f>
        <v/>
      </c>
      <c r="S7" s="234"/>
      <c r="T7" s="233">
        <f>IF(Q7=0,0,IF(S7&gt;=25,MIN(250,ROUNDDOWN(S7*10,-1)),IF(S7&gt;=20,MIN(200,ROUNDDOWN(S7*10,-1)),IF(S7&gt;=15,MIN(150,ROUNDDOWN(S7*10,-1)),MIN(100,ROUNDDOWN(S7*10,-1))))))</f>
        <v>0</v>
      </c>
      <c r="U7" s="231" t="str">
        <f>IF(V7&gt;=1,1,"")</f>
        <v/>
      </c>
      <c r="V7" s="234"/>
      <c r="W7" s="233">
        <f>IF(AND(Q7&gt;0,V7&gt;=1),MIN(INT(V7)*20,200),0)</f>
        <v>0</v>
      </c>
      <c r="X7" s="231" t="str">
        <f>IF(Y7&gt;=1,1,"")</f>
        <v/>
      </c>
      <c r="Y7" s="234"/>
      <c r="Z7" s="231">
        <f>IF(Y7&gt;=1,50,0)</f>
        <v>0</v>
      </c>
      <c r="AA7" s="232">
        <f t="shared" si="1"/>
        <v>0</v>
      </c>
      <c r="AB7" s="231" t="str">
        <f>IF(AC7&gt;=1,1,"")</f>
        <v/>
      </c>
      <c r="AC7" s="234"/>
      <c r="AD7" s="231">
        <f t="shared" si="2"/>
        <v>0</v>
      </c>
      <c r="AE7" s="231" t="str">
        <f>IF(OR(AF7=1,AG7=1),1,"")</f>
        <v/>
      </c>
      <c r="AF7" s="234"/>
      <c r="AG7" s="234"/>
      <c r="AH7" s="232">
        <f>IF(AND(Q7&gt;0,AE7=1,[1]【様式第６号】事業報告書兼チェックシート!B60=""),100,0)</f>
        <v>0</v>
      </c>
      <c r="AI7" s="231" t="str">
        <f>IF(OR(AJ7=1,AK7=1),1,"")</f>
        <v/>
      </c>
      <c r="AJ7" s="234"/>
      <c r="AK7" s="234"/>
      <c r="AL7" s="232">
        <f t="shared" si="3"/>
        <v>0</v>
      </c>
      <c r="AM7" s="231" t="str">
        <f>IF(AU7&gt;=4,1,"")</f>
        <v/>
      </c>
      <c r="AN7" s="234"/>
      <c r="AO7" s="234"/>
      <c r="AP7" s="234"/>
      <c r="AQ7" s="234"/>
      <c r="AR7" s="234"/>
      <c r="AS7" s="234"/>
      <c r="AT7" s="234"/>
      <c r="AU7" s="231">
        <f>SUM(AN7:AT7)</f>
        <v>0</v>
      </c>
      <c r="AV7" s="232">
        <f>IF(AU7&gt;=4,200,0)</f>
        <v>0</v>
      </c>
      <c r="AW7" s="234"/>
      <c r="AX7" s="234"/>
      <c r="AY7" s="232">
        <f t="shared" si="4"/>
        <v>0</v>
      </c>
      <c r="AZ7" s="234">
        <v>5</v>
      </c>
      <c r="BA7" s="235">
        <v>3</v>
      </c>
      <c r="BB7" s="234">
        <v>10</v>
      </c>
      <c r="BC7" s="232">
        <f>MIN(ROUNDDOWN(BA7,1)*20+INT(BB7)*2,250)</f>
        <v>80</v>
      </c>
      <c r="BD7" s="231">
        <f>IF(OR(BE7=1,BF7=1),1,"")</f>
        <v>1</v>
      </c>
      <c r="BE7" s="234">
        <v>1</v>
      </c>
      <c r="BF7" s="234"/>
      <c r="BG7" s="232" t="e">
        <f>IF(AND(BC7&gt;0,BD7=1,#REF!=""),100,0)</f>
        <v>#REF!</v>
      </c>
      <c r="BH7" s="231" t="str">
        <f>IF(OR(BI7=1,BJ7=1,BK7=1),1,"")</f>
        <v/>
      </c>
      <c r="BI7" s="234"/>
      <c r="BJ7" s="234"/>
      <c r="BK7" s="234"/>
      <c r="BL7" s="232">
        <f>IF(AND(BC7&gt;0,BH7=1),100,IF(AND(BC7&gt;0,BK7=1),100,0))</f>
        <v>0</v>
      </c>
      <c r="BM7" s="231">
        <f>IF(OR(AND(BN7&gt;=7,BO7&gt;=7,BN7+BO7&gt;=14),AND(BN7&gt;=7,BP7&gt;=3,BN7+BP7&gt;=10),AND(BO7&gt;=7,BP7&gt;=3,BO7+BP7&gt;=10)),1,"")</f>
        <v>1</v>
      </c>
      <c r="BN7" s="234">
        <v>7</v>
      </c>
      <c r="BO7" s="234"/>
      <c r="BP7" s="234">
        <v>3</v>
      </c>
      <c r="BQ7" s="232">
        <f>IF(AND(BM7=1,BC7&gt;0),MIN(150,ROUNDDOWN(BN7*11+BO7*13+BP7*19,0)),0)</f>
        <v>134</v>
      </c>
      <c r="BR7" s="234"/>
      <c r="BS7" s="232" t="e">
        <f t="shared" si="5"/>
        <v>#REF!</v>
      </c>
      <c r="BT7" s="236"/>
      <c r="BU7" s="237" t="s">
        <v>9</v>
      </c>
      <c r="BV7" s="238"/>
      <c r="BW7" s="237" t="s">
        <v>359</v>
      </c>
      <c r="BX7" s="238"/>
      <c r="BY7" s="239" t="s">
        <v>8</v>
      </c>
      <c r="BZ7" s="236"/>
      <c r="CA7" s="237" t="s">
        <v>9</v>
      </c>
      <c r="CB7" s="238"/>
      <c r="CC7" s="237" t="s">
        <v>359</v>
      </c>
      <c r="CD7" s="238"/>
      <c r="CE7" s="239" t="s">
        <v>8</v>
      </c>
      <c r="CF7" s="228">
        <v>43205</v>
      </c>
      <c r="CG7" s="240" t="e">
        <f t="shared" ref="CG7:CG11" si="14">AY7+BS7</f>
        <v>#REF!</v>
      </c>
      <c r="CH7" s="229" t="s">
        <v>360</v>
      </c>
      <c r="CI7" s="229" t="s">
        <v>361</v>
      </c>
      <c r="CJ7" s="225" t="s">
        <v>375</v>
      </c>
      <c r="CK7" s="229">
        <v>200</v>
      </c>
      <c r="CL7" s="241">
        <v>300</v>
      </c>
      <c r="CM7" s="230" t="s">
        <v>376</v>
      </c>
      <c r="CN7" s="228"/>
      <c r="CO7" s="227"/>
      <c r="CP7" s="227"/>
      <c r="CQ7" s="228"/>
      <c r="CR7" s="228"/>
      <c r="CS7" s="227"/>
      <c r="CT7" s="227"/>
      <c r="CU7" s="227"/>
      <c r="CV7" s="227"/>
      <c r="CW7" s="227"/>
      <c r="CX7" s="227"/>
      <c r="CY7" s="227"/>
      <c r="CZ7"/>
      <c r="DA7" s="227"/>
      <c r="DB7" s="234"/>
      <c r="DC7" s="234"/>
      <c r="DD7" s="234"/>
      <c r="DE7" s="232">
        <f t="shared" si="6"/>
        <v>0</v>
      </c>
      <c r="DF7" s="232">
        <f t="shared" si="7"/>
        <v>0</v>
      </c>
      <c r="DG7" s="231" t="str">
        <f t="shared" ref="DG7:DG10" si="15">IF(DH7&gt;=1,1,"")</f>
        <v/>
      </c>
      <c r="DH7" s="234"/>
      <c r="DI7" s="234"/>
      <c r="DJ7" s="233">
        <f t="shared" ref="DJ7:DJ10" si="16">IF(DE7=0,0,IF(DH7&gt;=25,MIN(250,ROUNDDOWN(DH7*10,-1)),IF(DH7&gt;=20,MIN(200,ROUNDDOWN(DH7*10,-1)),IF(DH7&gt;=15,MIN(150,ROUNDDOWN(DH7*10,-1)),MIN(100,ROUNDDOWN(DH7*10,-1))))))</f>
        <v>0</v>
      </c>
      <c r="DK7" s="232">
        <f t="shared" si="8"/>
        <v>0</v>
      </c>
      <c r="DL7" s="231" t="str">
        <f t="shared" ref="DL7:DL10" si="17">IF(DM7&gt;=1,1,"")</f>
        <v/>
      </c>
      <c r="DM7" s="234"/>
      <c r="DN7" s="234"/>
      <c r="DO7" s="231" t="str">
        <f t="shared" ref="DO7:DO10" si="18">IF(DP7&gt;=1,1,"")</f>
        <v/>
      </c>
      <c r="DP7" s="234"/>
      <c r="DQ7" s="234"/>
      <c r="DR7" s="234"/>
      <c r="DS7" s="233">
        <f>IF(AND(DE7&gt;0,DM7&gt;=1),MIN(INT(DM7)*20,200),0)</f>
        <v>0</v>
      </c>
      <c r="DT7" s="232">
        <f>MIN(W7,DS7)</f>
        <v>0</v>
      </c>
      <c r="DU7" s="231" t="str">
        <f t="shared" ref="DU7:DU10" si="19">IF(DV7&gt;=1,1,"")</f>
        <v/>
      </c>
      <c r="DV7" s="234"/>
      <c r="DW7" s="231">
        <f t="shared" si="9"/>
        <v>0</v>
      </c>
      <c r="DX7" s="231" t="str">
        <f t="shared" ref="DX7:DX10" si="20">IF(DY7&gt;=1,1,"")</f>
        <v/>
      </c>
      <c r="DY7" s="234"/>
      <c r="DZ7" s="234"/>
      <c r="EA7" s="231">
        <f>IF(AND(DE7&gt;0,DY7&gt;=1),MIN(INT(DY7)*2,150),0)</f>
        <v>0</v>
      </c>
      <c r="EB7" s="232">
        <f t="shared" si="10"/>
        <v>0</v>
      </c>
      <c r="EC7" s="232">
        <f>MIN(AA7,EB7)</f>
        <v>0</v>
      </c>
      <c r="ED7" s="231" t="str">
        <f t="shared" ref="ED7:ED10" si="21">IF(OR(EE7=1,EF7=1),1,"")</f>
        <v/>
      </c>
      <c r="EE7" s="234"/>
      <c r="EF7" s="234"/>
      <c r="EG7" s="232">
        <f>IF(AND(DE7&gt;0,ED7=1,[1]【様式第６号】事業報告書兼チェックシート!B60=""),100,0)</f>
        <v>0</v>
      </c>
      <c r="EH7" s="232">
        <f>MIN(AH7,EG7)</f>
        <v>0</v>
      </c>
      <c r="EI7" s="231" t="str">
        <f t="shared" ref="EI7:EI10" si="22">IF(OR(EJ7=1,EK7=1),1,"")</f>
        <v/>
      </c>
      <c r="EJ7" s="234"/>
      <c r="EK7" s="234"/>
      <c r="EL7" s="232">
        <f t="shared" si="11"/>
        <v>0</v>
      </c>
      <c r="EM7" s="232">
        <f>MIN(AL7,EL7)</f>
        <v>0</v>
      </c>
      <c r="EN7" s="231" t="str">
        <f t="shared" ref="EN7:EN10" si="23">IF(EV7&gt;=4,1,"")</f>
        <v/>
      </c>
      <c r="EO7" s="234"/>
      <c r="EP7" s="234"/>
      <c r="EQ7" s="234"/>
      <c r="ER7" s="234"/>
      <c r="ES7" s="234"/>
      <c r="ET7" s="234"/>
      <c r="EU7" s="234"/>
      <c r="EV7" s="231">
        <f t="shared" ref="EV7:EV10" si="24">SUM(EO7:EU7)</f>
        <v>0</v>
      </c>
      <c r="EW7" s="232">
        <f t="shared" ref="EW7:EW10" si="25">IF(EV7&gt;=4,200,0)</f>
        <v>0</v>
      </c>
      <c r="EX7" s="232">
        <f>MIN(AV7,EW7)</f>
        <v>0</v>
      </c>
      <c r="EY7" s="234"/>
      <c r="EZ7" s="234"/>
      <c r="FA7" s="234"/>
      <c r="FB7" s="234"/>
      <c r="FC7" s="234"/>
      <c r="FD7" s="232">
        <f>IF(D7="新築",MIN(1500,CG7,MIN(DF7+DK7+DT7+EC7+EH7+EM7+EX7,1000)),0)</f>
        <v>0</v>
      </c>
      <c r="FE7" s="232">
        <f>AY7-FD7</f>
        <v>0</v>
      </c>
      <c r="FF7" s="234">
        <v>5</v>
      </c>
      <c r="FG7" s="242">
        <v>3</v>
      </c>
      <c r="FH7" s="242" t="s">
        <v>377</v>
      </c>
      <c r="FI7" s="234">
        <v>8</v>
      </c>
      <c r="FJ7" s="234" t="s">
        <v>378</v>
      </c>
      <c r="FK7" s="232">
        <f t="shared" ref="FK7:FK10" si="26">MIN(ROUNDDOWN(FG7,1)*20+INT(FI7)*2,250)</f>
        <v>76</v>
      </c>
      <c r="FL7" s="232">
        <f>MIN(BC7,FK7)</f>
        <v>76</v>
      </c>
      <c r="FM7" s="231">
        <f t="shared" ref="FM7:FM10" si="27">IF(OR(FN7=1,FO7=1),1,"")</f>
        <v>1</v>
      </c>
      <c r="FN7" s="234">
        <v>1</v>
      </c>
      <c r="FO7" s="234"/>
      <c r="FP7" s="232" t="e">
        <f>IF(AND(FK7&gt;0,FM7=1,#REF!=""),100,0)</f>
        <v>#REF!</v>
      </c>
      <c r="FQ7" s="232" t="e">
        <f>MIN(BG7,FP7)</f>
        <v>#REF!</v>
      </c>
      <c r="FR7" s="231" t="str">
        <f t="shared" ref="FR7:FR10" si="28">IF(OR(FS7=1,FT7=1,FU7=1),1,"")</f>
        <v/>
      </c>
      <c r="FS7" s="234"/>
      <c r="FT7" s="234"/>
      <c r="FU7" s="234"/>
      <c r="FV7" s="232">
        <f t="shared" ref="FV7:FV10" si="29">IF(AND(FK7&gt;0,FR7=1),100,IF(AND(FK7&gt;0,FU7=1),100,0))</f>
        <v>0</v>
      </c>
      <c r="FW7" s="232">
        <f>MIN(BL7,FV7)</f>
        <v>0</v>
      </c>
      <c r="FX7" s="231">
        <f t="shared" ref="FX7:FX10" si="30">IF(OR(AND(FY7&gt;=7,FZ7&gt;=7,FY7+FZ7&gt;=14),AND(FY7&gt;=7,GA7&gt;=3,FY7+GA7&gt;=10),AND(FZ7&gt;=7,GA7&gt;=3,FZ7+GA7&gt;=10)),1,"")</f>
        <v>1</v>
      </c>
      <c r="FY7" s="234">
        <v>7</v>
      </c>
      <c r="FZ7" s="234"/>
      <c r="GA7" s="234">
        <v>3</v>
      </c>
      <c r="GB7" s="232">
        <f t="shared" ref="GB7:GB10" si="31">IF(AND(FX7=1,FK7&gt;0),MIN(150,ROUNDDOWN(FY7*11+FZ7*13+GA7*19,0)),0)</f>
        <v>134</v>
      </c>
      <c r="GC7" s="232">
        <f>MIN(BQ7,GB7)</f>
        <v>134</v>
      </c>
      <c r="GD7" s="234"/>
      <c r="GE7" s="234" t="s">
        <v>379</v>
      </c>
      <c r="GF7" s="232" t="e">
        <f>IF(D7="改修",MIN(500,FL7+FQ7+FW7+GC7,INT(CL7*10/2)),0)</f>
        <v>#REF!</v>
      </c>
      <c r="GG7" s="232" t="e">
        <f>BS7-GF7</f>
        <v>#REF!</v>
      </c>
      <c r="GH7" s="227" t="s">
        <v>368</v>
      </c>
      <c r="GI7" s="228">
        <v>43332</v>
      </c>
      <c r="GJ7" s="228">
        <v>43343</v>
      </c>
      <c r="GK7" s="228">
        <v>43358</v>
      </c>
      <c r="GL7" s="240" t="e">
        <f>IF(D7="新築",AY7,IF(D7="改修",BS7,0))</f>
        <v>#REF!</v>
      </c>
      <c r="GM7" s="240" t="e">
        <f t="shared" si="12"/>
        <v>#REF!</v>
      </c>
      <c r="GN7" s="240" t="e">
        <f t="shared" ref="GN7:GN11" si="32">GL7-GM7</f>
        <v>#REF!</v>
      </c>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c r="IW7" s="92"/>
      <c r="IX7" s="92"/>
      <c r="IY7" s="92"/>
      <c r="IZ7" s="92"/>
      <c r="JA7" s="92"/>
      <c r="JB7" s="92"/>
      <c r="JC7" s="92"/>
      <c r="JD7" s="92"/>
      <c r="JE7" s="92"/>
      <c r="JF7" s="92"/>
      <c r="JG7" s="92"/>
      <c r="JH7" s="92"/>
      <c r="JI7" s="92"/>
      <c r="JJ7" s="92"/>
      <c r="JK7" s="92"/>
      <c r="JL7" s="92"/>
      <c r="JM7" s="92"/>
      <c r="JN7" s="92"/>
      <c r="JO7" s="92"/>
      <c r="JP7" s="92"/>
      <c r="JQ7" s="92"/>
      <c r="JR7" s="92"/>
      <c r="JS7" s="92"/>
      <c r="JT7" s="92"/>
      <c r="JU7" s="92"/>
      <c r="JV7" s="92"/>
      <c r="JW7" s="92"/>
      <c r="JX7" s="92"/>
      <c r="JY7" s="92"/>
      <c r="JZ7" s="92"/>
      <c r="KA7" s="92"/>
      <c r="KB7" s="92"/>
      <c r="KC7" s="92"/>
      <c r="KD7" s="92"/>
      <c r="KE7" s="92"/>
      <c r="KF7" s="92"/>
      <c r="KG7" s="92"/>
      <c r="KH7" s="92"/>
      <c r="KI7" s="92"/>
      <c r="KJ7" s="92"/>
      <c r="KK7" s="92"/>
      <c r="KL7" s="92"/>
      <c r="KM7" s="92"/>
      <c r="KN7" s="92"/>
      <c r="KO7" s="92"/>
      <c r="KP7" s="92"/>
      <c r="KQ7" s="92"/>
      <c r="KR7" s="92"/>
      <c r="KS7" s="92"/>
      <c r="KT7" s="92"/>
      <c r="KU7" s="92"/>
      <c r="KV7" s="92"/>
      <c r="KW7" s="92"/>
      <c r="KX7" s="92"/>
      <c r="KY7" s="92"/>
      <c r="KZ7" s="92"/>
      <c r="LA7" s="92"/>
      <c r="LB7" s="92"/>
      <c r="LC7" s="92"/>
      <c r="LD7" s="92"/>
      <c r="LE7" s="92"/>
      <c r="LF7" s="92"/>
      <c r="LG7" s="92"/>
      <c r="LH7" s="92"/>
      <c r="LI7" s="92"/>
      <c r="LJ7" s="92"/>
      <c r="LK7" s="92"/>
      <c r="LL7" s="92"/>
      <c r="LM7" s="92"/>
      <c r="LN7" s="92"/>
      <c r="LO7" s="92"/>
      <c r="LP7" s="92"/>
      <c r="LQ7" s="92"/>
      <c r="LR7" s="92"/>
      <c r="LS7" s="92"/>
      <c r="LT7" s="92"/>
      <c r="LU7" s="92"/>
      <c r="LV7" s="92"/>
      <c r="LW7" s="92"/>
      <c r="LX7" s="92"/>
      <c r="LY7" s="92"/>
      <c r="LZ7" s="92"/>
      <c r="MA7" s="92"/>
      <c r="MB7" s="92"/>
      <c r="MC7" s="92"/>
      <c r="MD7" s="92"/>
      <c r="ME7" s="92"/>
      <c r="MF7" s="92"/>
      <c r="MG7" s="92"/>
      <c r="MH7" s="92"/>
      <c r="MI7" s="92"/>
      <c r="MJ7" s="92"/>
      <c r="MK7" s="92"/>
      <c r="ML7" s="92"/>
      <c r="MM7" s="92"/>
      <c r="MN7" s="92"/>
      <c r="MO7" s="92"/>
      <c r="MP7" s="92"/>
      <c r="MQ7" s="92"/>
      <c r="MR7" s="92"/>
      <c r="MS7" s="92"/>
      <c r="MT7" s="92"/>
      <c r="MU7" s="92"/>
      <c r="MV7" s="92"/>
      <c r="MW7" s="92"/>
      <c r="MX7" s="92"/>
      <c r="MY7" s="92"/>
      <c r="MZ7" s="92"/>
      <c r="NA7" s="92"/>
      <c r="NB7" s="92"/>
      <c r="NC7" s="92"/>
      <c r="ND7" s="92"/>
      <c r="NE7" s="92"/>
      <c r="NF7" s="92"/>
      <c r="NG7" s="92"/>
      <c r="NH7" s="92"/>
      <c r="NI7" s="92"/>
      <c r="NJ7" s="92"/>
      <c r="NK7" s="92"/>
      <c r="NL7" s="92"/>
      <c r="NM7" s="92"/>
      <c r="NN7" s="92"/>
      <c r="NO7" s="92"/>
      <c r="NP7" s="92"/>
      <c r="NQ7" s="92"/>
      <c r="NR7" s="92"/>
      <c r="NS7" s="92"/>
      <c r="NT7" s="92"/>
      <c r="NU7" s="92"/>
      <c r="NV7" s="92"/>
      <c r="NW7" s="92"/>
      <c r="NX7" s="92"/>
      <c r="NY7" s="92"/>
      <c r="NZ7" s="92"/>
      <c r="OA7" s="92"/>
      <c r="OB7" s="92"/>
      <c r="OC7" s="92"/>
      <c r="OD7" s="92"/>
      <c r="OE7" s="92"/>
      <c r="OF7" s="92"/>
      <c r="OG7" s="92"/>
      <c r="OH7" s="92"/>
      <c r="OI7" s="92"/>
      <c r="OJ7" s="92"/>
      <c r="OK7" s="92"/>
      <c r="OL7" s="92"/>
      <c r="OM7" s="92"/>
      <c r="ON7" s="92"/>
      <c r="OO7" s="92"/>
      <c r="OP7" s="92"/>
      <c r="OQ7" s="92"/>
      <c r="OR7" s="92"/>
      <c r="OS7" s="92"/>
      <c r="OT7" s="92"/>
      <c r="OU7" s="92"/>
      <c r="OV7" s="92"/>
      <c r="OW7" s="92"/>
      <c r="OX7" s="92"/>
      <c r="OY7" s="92"/>
      <c r="OZ7" s="92"/>
      <c r="PA7" s="92"/>
      <c r="PB7" s="92"/>
      <c r="PC7" s="92"/>
      <c r="PD7" s="92"/>
      <c r="PE7" s="92"/>
      <c r="PF7" s="92"/>
      <c r="PG7" s="92"/>
      <c r="PH7" s="92"/>
      <c r="PI7" s="92"/>
      <c r="PJ7" s="92"/>
      <c r="PK7" s="92"/>
      <c r="PL7" s="92"/>
      <c r="PM7" s="92"/>
      <c r="PN7" s="92"/>
      <c r="PO7" s="92"/>
      <c r="PP7" s="92"/>
      <c r="PQ7" s="92"/>
      <c r="PR7" s="92"/>
      <c r="PS7" s="92"/>
      <c r="PT7" s="92"/>
      <c r="PU7" s="92"/>
      <c r="PV7" s="92"/>
      <c r="PW7" s="92"/>
      <c r="PX7" s="92"/>
      <c r="PY7" s="92"/>
      <c r="PZ7" s="92"/>
      <c r="QA7" s="92"/>
      <c r="QB7" s="92"/>
      <c r="QC7" s="92"/>
      <c r="QD7" s="92"/>
      <c r="QE7" s="92"/>
      <c r="QF7" s="92"/>
      <c r="QG7" s="92"/>
      <c r="QH7" s="92"/>
      <c r="QI7" s="92"/>
      <c r="QJ7" s="92"/>
      <c r="QK7" s="92"/>
      <c r="QL7" s="92"/>
      <c r="QM7" s="92"/>
      <c r="QN7" s="92"/>
      <c r="QO7" s="92"/>
      <c r="QP7" s="92"/>
      <c r="QQ7" s="92"/>
      <c r="QR7" s="92"/>
      <c r="QS7" s="92"/>
      <c r="QT7" s="92"/>
      <c r="QU7" s="92"/>
      <c r="QV7" s="92"/>
      <c r="QW7" s="92"/>
      <c r="QX7" s="92"/>
      <c r="QY7" s="92"/>
      <c r="QZ7" s="92"/>
      <c r="RA7" s="92"/>
      <c r="RB7" s="92"/>
      <c r="RC7" s="92"/>
      <c r="RD7" s="92"/>
      <c r="RE7" s="92"/>
      <c r="RF7" s="92"/>
      <c r="RG7" s="92"/>
      <c r="RH7" s="92"/>
      <c r="RI7" s="92"/>
      <c r="RJ7" s="92"/>
      <c r="RK7" s="92"/>
      <c r="RL7" s="92"/>
      <c r="RM7" s="92"/>
      <c r="RN7" s="92"/>
      <c r="RO7" s="92"/>
      <c r="RP7" s="92"/>
      <c r="RQ7" s="92"/>
      <c r="RR7" s="92"/>
      <c r="RS7" s="92"/>
      <c r="RT7" s="92"/>
      <c r="RU7" s="92"/>
      <c r="RV7" s="92"/>
      <c r="RW7" s="92"/>
      <c r="RX7" s="92"/>
      <c r="RY7" s="92"/>
      <c r="RZ7" s="92"/>
      <c r="SA7" s="92"/>
      <c r="SB7" s="92"/>
      <c r="SC7" s="92"/>
      <c r="SD7" s="92"/>
      <c r="SE7" s="92"/>
      <c r="SF7" s="92"/>
      <c r="SG7" s="92"/>
      <c r="SH7" s="92"/>
      <c r="SI7" s="92"/>
      <c r="SJ7" s="92"/>
      <c r="SK7" s="92"/>
      <c r="SL7" s="92"/>
      <c r="SM7" s="92"/>
      <c r="SN7" s="92"/>
      <c r="SO7" s="92"/>
      <c r="SP7" s="92"/>
      <c r="SQ7" s="92"/>
      <c r="SR7" s="92"/>
      <c r="SS7" s="92"/>
      <c r="ST7" s="92"/>
      <c r="SU7" s="92"/>
      <c r="SV7" s="92"/>
      <c r="SW7" s="92"/>
      <c r="SX7" s="92"/>
      <c r="SY7" s="92"/>
      <c r="SZ7" s="92"/>
      <c r="TA7" s="92"/>
      <c r="TB7" s="92"/>
      <c r="TC7" s="92"/>
      <c r="TD7" s="92"/>
      <c r="TE7" s="92"/>
      <c r="TF7" s="92"/>
      <c r="TG7" s="92"/>
      <c r="TH7" s="92"/>
      <c r="TI7" s="92"/>
      <c r="TJ7" s="92"/>
      <c r="TK7" s="92"/>
      <c r="TL7" s="92"/>
      <c r="TM7" s="92"/>
      <c r="TN7" s="92"/>
      <c r="TO7" s="92"/>
      <c r="TP7" s="92"/>
      <c r="TQ7" s="92"/>
      <c r="TR7" s="92"/>
      <c r="TS7" s="92"/>
      <c r="TT7" s="92"/>
      <c r="TU7" s="92"/>
      <c r="TV7" s="92"/>
      <c r="TW7" s="92"/>
      <c r="TX7" s="92"/>
      <c r="TY7" s="92"/>
      <c r="TZ7" s="92"/>
      <c r="UA7" s="92"/>
      <c r="UB7" s="92"/>
      <c r="UC7" s="92"/>
      <c r="UD7" s="92"/>
      <c r="UE7" s="92"/>
      <c r="UF7" s="92"/>
      <c r="UG7" s="92"/>
      <c r="UH7" s="92"/>
      <c r="UI7" s="92"/>
      <c r="UJ7" s="92"/>
      <c r="UK7" s="92"/>
      <c r="UL7" s="92"/>
      <c r="UM7" s="92"/>
      <c r="UN7" s="92"/>
      <c r="UO7" s="92"/>
      <c r="UP7" s="92"/>
      <c r="UQ7" s="92"/>
      <c r="UR7" s="92"/>
      <c r="US7" s="92"/>
      <c r="UT7" s="92"/>
      <c r="UU7" s="92"/>
      <c r="UV7" s="92"/>
      <c r="UW7" s="92"/>
      <c r="UX7" s="92"/>
      <c r="UY7" s="92"/>
      <c r="UZ7" s="92"/>
      <c r="VA7" s="92"/>
      <c r="VB7" s="92"/>
      <c r="VC7" s="92"/>
      <c r="VD7" s="92"/>
      <c r="VE7" s="92"/>
      <c r="VF7" s="92"/>
      <c r="VG7" s="92"/>
      <c r="VH7" s="92"/>
      <c r="VI7" s="92"/>
      <c r="VJ7" s="92"/>
      <c r="VK7" s="92"/>
      <c r="VL7" s="92"/>
      <c r="VM7" s="92"/>
      <c r="VN7" s="92"/>
      <c r="VO7" s="92"/>
      <c r="VP7" s="92"/>
      <c r="VQ7" s="92"/>
      <c r="VR7" s="92"/>
      <c r="VS7" s="92"/>
      <c r="VT7" s="92"/>
      <c r="VU7" s="92"/>
      <c r="VV7" s="92"/>
      <c r="VW7" s="92"/>
      <c r="VX7" s="92"/>
      <c r="VY7" s="92"/>
      <c r="VZ7" s="92"/>
      <c r="WA7" s="92"/>
      <c r="WB7" s="92"/>
      <c r="WC7" s="92"/>
      <c r="WD7" s="92"/>
      <c r="WE7" s="92"/>
      <c r="WF7" s="92"/>
      <c r="WG7" s="92"/>
      <c r="WH7" s="92"/>
      <c r="WI7" s="92"/>
      <c r="WJ7" s="92"/>
      <c r="WK7" s="92"/>
      <c r="WL7" s="92"/>
      <c r="WM7" s="92"/>
      <c r="WN7" s="92"/>
      <c r="WO7" s="92"/>
      <c r="WP7" s="92"/>
      <c r="WQ7" s="92"/>
      <c r="WR7" s="92"/>
      <c r="WS7" s="92"/>
      <c r="WT7" s="92"/>
      <c r="WU7" s="92"/>
      <c r="WV7" s="92"/>
      <c r="WW7" s="92"/>
      <c r="WX7" s="92"/>
      <c r="WY7" s="92"/>
      <c r="WZ7" s="92"/>
      <c r="XA7" s="92"/>
      <c r="XB7" s="92"/>
      <c r="XC7" s="92"/>
      <c r="XD7" s="92"/>
      <c r="XE7" s="92"/>
      <c r="XF7" s="92"/>
      <c r="XG7" s="92"/>
      <c r="XH7" s="92"/>
      <c r="XI7" s="92"/>
      <c r="XJ7" s="92"/>
      <c r="XK7" s="92"/>
      <c r="XL7" s="92"/>
      <c r="XM7" s="92"/>
      <c r="XN7" s="92"/>
      <c r="XO7" s="92"/>
      <c r="XP7" s="92"/>
      <c r="XQ7" s="92"/>
      <c r="XR7" s="92"/>
      <c r="XS7" s="92"/>
      <c r="XT7" s="92"/>
      <c r="XU7" s="92"/>
      <c r="XV7" s="92"/>
      <c r="XW7" s="92"/>
      <c r="XX7" s="92"/>
      <c r="XY7" s="92"/>
      <c r="XZ7" s="92"/>
      <c r="YA7" s="92"/>
      <c r="YB7" s="92"/>
      <c r="YC7" s="92"/>
      <c r="YD7" s="92"/>
      <c r="YE7" s="92"/>
      <c r="YF7" s="92"/>
      <c r="YG7" s="92"/>
      <c r="YH7" s="92"/>
      <c r="YI7" s="92"/>
      <c r="YJ7" s="92"/>
      <c r="YK7" s="92"/>
      <c r="YL7" s="92"/>
      <c r="YM7" s="92"/>
      <c r="YN7" s="92"/>
      <c r="YO7" s="92"/>
      <c r="YP7" s="92"/>
      <c r="YQ7" s="92"/>
      <c r="YR7" s="92"/>
      <c r="YS7" s="92"/>
      <c r="YT7" s="92"/>
      <c r="YU7" s="92"/>
      <c r="YV7" s="92"/>
      <c r="YW7" s="92"/>
      <c r="YX7" s="92"/>
      <c r="YY7" s="92"/>
      <c r="YZ7" s="92"/>
      <c r="ZA7" s="92"/>
      <c r="ZB7" s="92"/>
      <c r="ZC7" s="92"/>
      <c r="ZD7" s="92"/>
      <c r="ZE7" s="92"/>
      <c r="ZF7" s="92"/>
      <c r="ZG7" s="92"/>
      <c r="ZH7" s="92"/>
      <c r="ZI7" s="92"/>
      <c r="ZJ7" s="92"/>
      <c r="ZK7" s="92"/>
      <c r="ZL7" s="92"/>
      <c r="ZM7" s="92"/>
      <c r="ZN7" s="92"/>
      <c r="ZO7" s="92"/>
      <c r="ZP7" s="92"/>
      <c r="ZQ7" s="92"/>
      <c r="ZR7" s="92"/>
      <c r="ZS7" s="92"/>
      <c r="ZT7" s="92"/>
      <c r="ZU7" s="92"/>
      <c r="ZV7" s="92"/>
      <c r="ZW7" s="92"/>
      <c r="ZX7" s="92"/>
      <c r="ZY7" s="92"/>
      <c r="ZZ7" s="92"/>
      <c r="AAA7" s="92"/>
      <c r="AAB7" s="92"/>
      <c r="AAC7" s="92"/>
      <c r="AAD7" s="92"/>
      <c r="AAE7" s="92"/>
      <c r="AAF7" s="92"/>
      <c r="AAG7" s="92"/>
      <c r="AAH7" s="92"/>
      <c r="AAI7" s="92"/>
      <c r="AAJ7" s="92"/>
      <c r="AAK7" s="92"/>
      <c r="AAL7" s="92"/>
      <c r="AAM7" s="92"/>
      <c r="AAN7" s="92"/>
      <c r="AAO7" s="92"/>
      <c r="AAP7" s="92"/>
      <c r="AAQ7" s="92"/>
      <c r="AAR7" s="92"/>
      <c r="AAS7" s="92"/>
      <c r="AAT7" s="92"/>
      <c r="AAU7" s="92"/>
      <c r="AAV7" s="92"/>
      <c r="AAW7" s="92"/>
      <c r="AAX7" s="92"/>
      <c r="AAY7" s="92"/>
      <c r="AAZ7" s="92"/>
      <c r="ABA7" s="92"/>
      <c r="ABB7" s="92"/>
      <c r="ABC7" s="92"/>
      <c r="ABD7" s="92"/>
      <c r="ABE7" s="92"/>
      <c r="ABF7" s="92"/>
      <c r="ABG7" s="92"/>
      <c r="ABH7" s="92"/>
      <c r="ABI7" s="92"/>
      <c r="ABJ7" s="92"/>
      <c r="ABK7" s="92"/>
      <c r="ABL7" s="92"/>
      <c r="ABM7" s="92"/>
      <c r="ABN7" s="92"/>
      <c r="ABO7" s="92"/>
      <c r="ABP7" s="92"/>
      <c r="ABQ7" s="92"/>
      <c r="ABR7" s="92"/>
      <c r="ABS7" s="92"/>
      <c r="ABT7" s="92"/>
      <c r="ABU7" s="92"/>
      <c r="ABV7" s="92"/>
      <c r="ABW7" s="92"/>
      <c r="ABX7" s="92"/>
      <c r="ABY7" s="92"/>
      <c r="ABZ7" s="92"/>
      <c r="ACA7" s="92"/>
      <c r="ACB7" s="92"/>
      <c r="ACC7" s="92"/>
      <c r="ACD7" s="92"/>
      <c r="ACE7" s="92"/>
      <c r="ACF7" s="92"/>
      <c r="ACG7" s="92"/>
      <c r="ACH7" s="92"/>
      <c r="ACI7" s="92"/>
      <c r="ACJ7" s="92"/>
      <c r="ACK7" s="92"/>
      <c r="ACL7" s="92"/>
      <c r="ACM7" s="92"/>
      <c r="ACN7" s="92"/>
      <c r="ACO7" s="92"/>
      <c r="ACP7" s="92"/>
      <c r="ACQ7" s="92"/>
      <c r="ACR7" s="92"/>
      <c r="ACS7" s="92"/>
      <c r="ACT7" s="92"/>
      <c r="ACU7" s="92"/>
      <c r="ACV7" s="92"/>
      <c r="ACW7" s="92"/>
      <c r="ACX7" s="92"/>
      <c r="ACY7" s="92"/>
      <c r="ACZ7" s="92"/>
      <c r="ADA7" s="92"/>
      <c r="ADB7" s="92"/>
      <c r="ADC7" s="92"/>
      <c r="ADD7" s="92"/>
      <c r="ADE7" s="92"/>
      <c r="ADF7" s="92"/>
      <c r="ADG7" s="92"/>
      <c r="ADH7" s="92"/>
      <c r="ADI7" s="92"/>
      <c r="ADJ7" s="92"/>
      <c r="ADK7" s="92"/>
      <c r="ADL7" s="92"/>
      <c r="ADM7" s="92"/>
      <c r="ADN7" s="92"/>
      <c r="ADO7" s="92"/>
      <c r="ADP7" s="92"/>
      <c r="ADQ7" s="92"/>
      <c r="ADR7" s="92"/>
      <c r="ADS7" s="92"/>
      <c r="ADT7" s="92"/>
      <c r="ADU7" s="92"/>
      <c r="ADV7" s="92"/>
      <c r="ADW7" s="92"/>
      <c r="ADX7" s="92"/>
      <c r="ADY7" s="92"/>
      <c r="ADZ7" s="92"/>
      <c r="AEA7" s="92"/>
      <c r="AEB7" s="92"/>
      <c r="AEC7" s="92"/>
      <c r="AED7" s="92"/>
      <c r="AEE7" s="92"/>
      <c r="AEF7" s="92"/>
      <c r="AEG7" s="92"/>
      <c r="AEH7" s="92"/>
      <c r="AEI7" s="92"/>
      <c r="AEJ7" s="92"/>
      <c r="AEK7" s="92"/>
      <c r="AEL7" s="92"/>
      <c r="AEM7" s="92"/>
      <c r="AEN7" s="92"/>
      <c r="AEO7" s="92"/>
      <c r="AEP7" s="92"/>
      <c r="AEQ7" s="92"/>
      <c r="AER7" s="92"/>
      <c r="AES7" s="92"/>
      <c r="AET7" s="92"/>
      <c r="AEU7" s="92"/>
      <c r="AEV7" s="92"/>
      <c r="AEW7" s="92"/>
      <c r="AEX7" s="92"/>
      <c r="AEY7" s="92"/>
      <c r="AEZ7" s="92"/>
      <c r="AFA7" s="92"/>
      <c r="AFB7" s="92"/>
      <c r="AFC7" s="92"/>
      <c r="AFD7" s="92"/>
      <c r="AFE7" s="92"/>
      <c r="AFF7" s="92"/>
      <c r="AFG7" s="92"/>
      <c r="AFH7" s="92"/>
      <c r="AFI7" s="92"/>
      <c r="AFJ7" s="92"/>
      <c r="AFK7" s="92"/>
      <c r="AFL7" s="92"/>
      <c r="AFM7" s="92"/>
      <c r="AFN7" s="92"/>
      <c r="AFO7" s="92"/>
      <c r="AFP7" s="92"/>
      <c r="AFQ7" s="92"/>
      <c r="AFR7" s="92"/>
      <c r="AFS7" s="92"/>
      <c r="AFT7" s="92"/>
      <c r="AFU7" s="92"/>
      <c r="AFV7" s="92"/>
      <c r="AFW7" s="92"/>
      <c r="AFX7" s="92"/>
      <c r="AFY7" s="92"/>
      <c r="AFZ7" s="92"/>
      <c r="AGA7" s="92"/>
      <c r="AGB7" s="92"/>
      <c r="AGC7" s="92"/>
      <c r="AGD7" s="92"/>
      <c r="AGE7" s="92"/>
      <c r="AGF7" s="92"/>
      <c r="AGG7" s="92"/>
      <c r="AGH7" s="92"/>
      <c r="AGI7" s="92"/>
      <c r="AGJ7" s="92"/>
      <c r="AGK7" s="92"/>
      <c r="AGL7" s="92"/>
      <c r="AGM7" s="92"/>
      <c r="AGN7" s="92"/>
      <c r="AGO7" s="92"/>
      <c r="AGP7" s="92"/>
    </row>
    <row r="8" spans="2:874" hidden="1" x14ac:dyDescent="0.2">
      <c r="B8" s="223" t="str">
        <f t="shared" si="0"/>
        <v/>
      </c>
      <c r="C8" s="224" t="s">
        <v>380</v>
      </c>
      <c r="D8" s="225" t="s">
        <v>381</v>
      </c>
      <c r="E8" s="226" t="str">
        <f t="shared" si="13"/>
        <v>登録</v>
      </c>
      <c r="F8" s="227"/>
      <c r="G8" s="227"/>
      <c r="H8" s="228">
        <v>43191</v>
      </c>
      <c r="I8" s="229" t="s">
        <v>360</v>
      </c>
      <c r="J8" s="230" t="s">
        <v>382</v>
      </c>
      <c r="K8" s="229"/>
      <c r="L8" s="230" t="s">
        <v>383</v>
      </c>
      <c r="M8" s="230" t="s">
        <v>79</v>
      </c>
      <c r="N8" s="229" t="s">
        <v>384</v>
      </c>
      <c r="O8" s="231">
        <v>25</v>
      </c>
      <c r="P8" s="231">
        <v>20</v>
      </c>
      <c r="Q8" s="232">
        <f t="shared" ref="Q8:Q10" si="33">IF(P8&gt;=10,150,0)</f>
        <v>150</v>
      </c>
      <c r="R8" s="231">
        <f t="shared" ref="R8:R10" si="34">IF(S8&gt;=1,1,"")</f>
        <v>1</v>
      </c>
      <c r="S8" s="231">
        <v>15</v>
      </c>
      <c r="T8" s="233">
        <f t="shared" ref="T8:T11" si="35">IF(Q8=0,0,IF(S8&gt;=25,MIN(250,ROUNDDOWN(S8*10,-1)),IF(S8&gt;=20,MIN(200,ROUNDDOWN(S8*10,-1)),IF(S8&gt;=15,MIN(150,ROUNDDOWN(S8*10,-1)),MIN(100,ROUNDDOWN(S8*10,-1))))))</f>
        <v>150</v>
      </c>
      <c r="U8" s="231">
        <f t="shared" ref="U8:U10" si="36">IF(V8&gt;=1,1,"")</f>
        <v>1</v>
      </c>
      <c r="V8" s="231">
        <v>3</v>
      </c>
      <c r="W8" s="233">
        <f t="shared" ref="W8:W11" si="37">IF(AND(Q8&gt;0,V8&gt;=1),MIN(INT(V8)*20,200),0)</f>
        <v>60</v>
      </c>
      <c r="X8" s="231" t="str">
        <f t="shared" ref="X8:X10" si="38">IF(Y8&gt;=1,1,"")</f>
        <v/>
      </c>
      <c r="Y8" s="231"/>
      <c r="Z8" s="231">
        <f t="shared" ref="Z8:Z11" si="39">IF(Y8&gt;=1,50,0)</f>
        <v>0</v>
      </c>
      <c r="AA8" s="232">
        <f t="shared" si="1"/>
        <v>100</v>
      </c>
      <c r="AB8" s="231">
        <f t="shared" ref="AB8:AB10" si="40">IF(AC8&gt;=1,1,"")</f>
        <v>1</v>
      </c>
      <c r="AC8" s="231">
        <v>50</v>
      </c>
      <c r="AD8" s="231">
        <f t="shared" si="2"/>
        <v>100</v>
      </c>
      <c r="AE8" s="231">
        <f t="shared" ref="AE8:AE11" si="41">IF(OR(AF8=1,AG8=1),1,"")</f>
        <v>1</v>
      </c>
      <c r="AF8" s="231">
        <v>1</v>
      </c>
      <c r="AG8" s="231"/>
      <c r="AH8" s="232">
        <f>IF(AND(Q8&gt;0,AE8=1,[1]【様式第６号】事業報告書兼チェックシート!B61=""),100,0)</f>
        <v>100</v>
      </c>
      <c r="AI8" s="231">
        <f t="shared" ref="AI8:AI10" si="42">IF(OR(AJ8=1,AK8=1),1,"")</f>
        <v>1</v>
      </c>
      <c r="AJ8" s="231"/>
      <c r="AK8" s="231">
        <v>1</v>
      </c>
      <c r="AL8" s="232">
        <f t="shared" si="3"/>
        <v>100</v>
      </c>
      <c r="AM8" s="231" t="str">
        <f t="shared" ref="AM8:AM11" si="43">IF(AU8&gt;=4,1,"")</f>
        <v/>
      </c>
      <c r="AN8" s="231"/>
      <c r="AO8" s="231"/>
      <c r="AP8" s="231"/>
      <c r="AQ8" s="231"/>
      <c r="AR8" s="231"/>
      <c r="AS8" s="231"/>
      <c r="AT8" s="231"/>
      <c r="AU8" s="231">
        <f t="shared" ref="AU8:AU11" si="44">SUM(AN8:AT8)</f>
        <v>0</v>
      </c>
      <c r="AV8" s="232">
        <f t="shared" ref="AV8:AV11" si="45">IF(AU8&gt;=4,200,0)</f>
        <v>0</v>
      </c>
      <c r="AW8" s="234"/>
      <c r="AX8" s="234"/>
      <c r="AY8" s="232">
        <f t="shared" si="4"/>
        <v>660</v>
      </c>
      <c r="AZ8" s="234"/>
      <c r="BA8" s="235"/>
      <c r="BB8" s="234"/>
      <c r="BC8" s="232">
        <f t="shared" ref="BC8:BC11" si="46">MIN(ROUNDDOWN(BA8,1)*20+INT(BB8)*2,250)</f>
        <v>0</v>
      </c>
      <c r="BD8" s="231" t="str">
        <f t="shared" ref="BD8:BD10" si="47">IF(OR(BE8=1,BF8=1),1,"")</f>
        <v/>
      </c>
      <c r="BE8" s="234"/>
      <c r="BF8" s="234"/>
      <c r="BG8" s="232" t="e">
        <f>IF(AND(BC8&gt;0,BD8=1,#REF!=""),100,0)</f>
        <v>#REF!</v>
      </c>
      <c r="BH8" s="231" t="str">
        <f t="shared" ref="BH8:BH11" si="48">IF(OR(BI8=1,BJ8=1,BK8=1),1,"")</f>
        <v/>
      </c>
      <c r="BI8" s="234"/>
      <c r="BJ8" s="234"/>
      <c r="BK8" s="234"/>
      <c r="BL8" s="232">
        <f t="shared" ref="BL8:BL11" si="49">IF(AND(BC8&gt;0,BH8=1),100,IF(AND(BC8&gt;0,BK8=1),100,0))</f>
        <v>0</v>
      </c>
      <c r="BM8" s="231" t="str">
        <f t="shared" ref="BM8:BM11" si="50">IF(OR(AND(BN8&gt;=7,BO8&gt;=7,BN8+BO8&gt;=14),AND(BN8&gt;=7,BP8&gt;=3,BN8+BP8&gt;=10),AND(BO8&gt;=7,BP8&gt;=3,BO8+BP8&gt;=10)),1,"")</f>
        <v/>
      </c>
      <c r="BN8" s="234"/>
      <c r="BO8" s="234"/>
      <c r="BP8" s="234"/>
      <c r="BQ8" s="232">
        <f t="shared" ref="BQ8:BQ11" si="51">IF(AND(BM8=1,BC8&gt;0),MIN(150,ROUNDDOWN(BN8*11+BO8*13+BP8*19,0)),0)</f>
        <v>0</v>
      </c>
      <c r="BR8" s="234"/>
      <c r="BS8" s="232">
        <f t="shared" si="5"/>
        <v>0</v>
      </c>
      <c r="BT8" s="236"/>
      <c r="BU8" s="237" t="s">
        <v>9</v>
      </c>
      <c r="BV8" s="238"/>
      <c r="BW8" s="237" t="s">
        <v>359</v>
      </c>
      <c r="BX8" s="238"/>
      <c r="BY8" s="239" t="s">
        <v>8</v>
      </c>
      <c r="BZ8" s="236"/>
      <c r="CA8" s="237" t="s">
        <v>9</v>
      </c>
      <c r="CB8" s="238"/>
      <c r="CC8" s="237" t="s">
        <v>359</v>
      </c>
      <c r="CD8" s="238"/>
      <c r="CE8" s="239" t="s">
        <v>8</v>
      </c>
      <c r="CF8" s="228">
        <v>43198</v>
      </c>
      <c r="CG8" s="240">
        <f t="shared" si="14"/>
        <v>660</v>
      </c>
      <c r="CH8" s="229" t="s">
        <v>360</v>
      </c>
      <c r="CI8" s="229" t="s">
        <v>361</v>
      </c>
      <c r="CJ8" s="225" t="s">
        <v>385</v>
      </c>
      <c r="CK8" s="229">
        <v>100</v>
      </c>
      <c r="CL8" s="241">
        <v>2200</v>
      </c>
      <c r="CM8" s="230" t="s">
        <v>363</v>
      </c>
      <c r="CN8" s="228"/>
      <c r="CO8" s="227"/>
      <c r="CP8" s="227"/>
      <c r="CQ8" s="228"/>
      <c r="CR8" s="228"/>
      <c r="CS8" s="227"/>
      <c r="CT8" s="227"/>
      <c r="CU8" s="227"/>
      <c r="CV8" s="227"/>
      <c r="CW8" s="227"/>
      <c r="CX8" s="227"/>
      <c r="CY8" s="227"/>
      <c r="CZ8"/>
      <c r="DA8" s="227"/>
      <c r="DB8" s="234"/>
      <c r="DC8" s="234"/>
      <c r="DD8" s="234"/>
      <c r="DE8" s="232">
        <f t="shared" si="6"/>
        <v>0</v>
      </c>
      <c r="DF8" s="232">
        <f t="shared" si="7"/>
        <v>0</v>
      </c>
      <c r="DG8" s="231" t="str">
        <f t="shared" si="15"/>
        <v/>
      </c>
      <c r="DH8" s="234"/>
      <c r="DI8" s="234"/>
      <c r="DJ8" s="233">
        <f t="shared" si="16"/>
        <v>0</v>
      </c>
      <c r="DK8" s="232">
        <f t="shared" si="8"/>
        <v>0</v>
      </c>
      <c r="DL8" s="231" t="str">
        <f t="shared" si="17"/>
        <v/>
      </c>
      <c r="DM8" s="234"/>
      <c r="DN8" s="234"/>
      <c r="DO8" s="231" t="str">
        <f t="shared" si="18"/>
        <v/>
      </c>
      <c r="DP8" s="234"/>
      <c r="DQ8" s="234"/>
      <c r="DR8" s="234"/>
      <c r="DS8" s="233">
        <f>IF(AND(DE8&gt;0,DM8&gt;=1),MIN(INT(DM8)*20,200),0)</f>
        <v>0</v>
      </c>
      <c r="DT8" s="232">
        <f>MIN(W8,DS8)</f>
        <v>0</v>
      </c>
      <c r="DU8" s="231" t="str">
        <f t="shared" si="19"/>
        <v/>
      </c>
      <c r="DV8" s="234"/>
      <c r="DW8" s="231">
        <f t="shared" si="9"/>
        <v>0</v>
      </c>
      <c r="DX8" s="231" t="str">
        <f t="shared" si="20"/>
        <v/>
      </c>
      <c r="DY8" s="234"/>
      <c r="DZ8" s="234"/>
      <c r="EA8" s="231">
        <f>IF(AND(DE8&gt;0,DY8&gt;=1),MIN(INT(DY8)*2,150),0)</f>
        <v>0</v>
      </c>
      <c r="EB8" s="232">
        <f t="shared" si="10"/>
        <v>0</v>
      </c>
      <c r="EC8" s="232">
        <f>MIN(AA8,EB8)</f>
        <v>0</v>
      </c>
      <c r="ED8" s="231" t="str">
        <f t="shared" si="21"/>
        <v/>
      </c>
      <c r="EE8" s="234"/>
      <c r="EF8" s="234"/>
      <c r="EG8" s="232">
        <f>IF(AND(DE8&gt;0,ED8=1,[1]【様式第６号】事業報告書兼チェックシート!B61=""),100,0)</f>
        <v>0</v>
      </c>
      <c r="EH8" s="232">
        <f>MIN(AH8,EG8)</f>
        <v>0</v>
      </c>
      <c r="EI8" s="231" t="str">
        <f t="shared" si="22"/>
        <v/>
      </c>
      <c r="EJ8" s="234"/>
      <c r="EK8" s="234"/>
      <c r="EL8" s="232">
        <f t="shared" si="11"/>
        <v>0</v>
      </c>
      <c r="EM8" s="232">
        <f>MIN(AL8,EL8)</f>
        <v>0</v>
      </c>
      <c r="EN8" s="231" t="str">
        <f t="shared" si="23"/>
        <v/>
      </c>
      <c r="EO8" s="234"/>
      <c r="EP8" s="234"/>
      <c r="EQ8" s="234"/>
      <c r="ER8" s="234"/>
      <c r="ES8" s="234"/>
      <c r="ET8" s="234"/>
      <c r="EU8" s="234"/>
      <c r="EV8" s="231">
        <f t="shared" si="24"/>
        <v>0</v>
      </c>
      <c r="EW8" s="232">
        <f t="shared" si="25"/>
        <v>0</v>
      </c>
      <c r="EX8" s="232">
        <f>MIN(AV8,EW8)</f>
        <v>0</v>
      </c>
      <c r="EY8" s="234"/>
      <c r="EZ8" s="234"/>
      <c r="FA8" s="234"/>
      <c r="FB8" s="234"/>
      <c r="FC8" s="234"/>
      <c r="FD8" s="232">
        <f>IF(D8="新築",MIN(1500,CG8,MIN(DF8+DK8+DT8+EC8+EH8+EM8+EX8,1000)),0)</f>
        <v>0</v>
      </c>
      <c r="FE8" s="232">
        <f>AY8-FD8</f>
        <v>660</v>
      </c>
      <c r="FF8" s="234"/>
      <c r="FG8" s="242"/>
      <c r="FH8" s="242"/>
      <c r="FI8" s="234"/>
      <c r="FJ8" s="234"/>
      <c r="FK8" s="232">
        <f t="shared" si="26"/>
        <v>0</v>
      </c>
      <c r="FL8" s="232">
        <f>MIN(BC8,FK8)</f>
        <v>0</v>
      </c>
      <c r="FM8" s="231" t="str">
        <f t="shared" si="27"/>
        <v/>
      </c>
      <c r="FN8" s="234"/>
      <c r="FO8" s="234"/>
      <c r="FP8" s="232" t="e">
        <f>IF(AND(FK8&gt;0,FM8=1,#REF!=""),100,0)</f>
        <v>#REF!</v>
      </c>
      <c r="FQ8" s="232" t="e">
        <f>MIN(BG8,FP8)</f>
        <v>#REF!</v>
      </c>
      <c r="FR8" s="231" t="str">
        <f t="shared" si="28"/>
        <v/>
      </c>
      <c r="FS8" s="234"/>
      <c r="FT8" s="234"/>
      <c r="FU8" s="234"/>
      <c r="FV8" s="232">
        <f t="shared" si="29"/>
        <v>0</v>
      </c>
      <c r="FW8" s="232">
        <f>MIN(BL8,FV8)</f>
        <v>0</v>
      </c>
      <c r="FX8" s="231" t="str">
        <f t="shared" si="30"/>
        <v/>
      </c>
      <c r="FY8" s="234"/>
      <c r="FZ8" s="234"/>
      <c r="GA8" s="234"/>
      <c r="GB8" s="232">
        <f t="shared" si="31"/>
        <v>0</v>
      </c>
      <c r="GC8" s="232">
        <f>MIN(BQ8,GB8)</f>
        <v>0</v>
      </c>
      <c r="GD8" s="234"/>
      <c r="GE8" s="234"/>
      <c r="GF8" s="232">
        <f>IF(D8="改修",MIN(500,FL8+FQ8+FW8+GC8,INT(CL8*10/2)),0)</f>
        <v>0</v>
      </c>
      <c r="GG8" s="232">
        <f>BS8-GF8</f>
        <v>0</v>
      </c>
      <c r="GH8" s="227"/>
      <c r="GI8" s="228"/>
      <c r="GJ8" s="228"/>
      <c r="GK8" s="228"/>
      <c r="GL8" s="240">
        <f>IF(D8="新築",AY8,IF(D8="改修",BS8,0))</f>
        <v>0</v>
      </c>
      <c r="GM8" s="240">
        <f t="shared" si="12"/>
        <v>0</v>
      </c>
      <c r="GN8" s="240">
        <f t="shared" si="32"/>
        <v>0</v>
      </c>
    </row>
    <row r="9" spans="2:874" s="243" customFormat="1" hidden="1" x14ac:dyDescent="0.2">
      <c r="B9" s="223" t="str">
        <f t="shared" si="0"/>
        <v>支払済</v>
      </c>
      <c r="C9" s="224" t="s">
        <v>380</v>
      </c>
      <c r="D9" s="225" t="s">
        <v>351</v>
      </c>
      <c r="E9" s="226" t="str">
        <f t="shared" si="13"/>
        <v>建売購入</v>
      </c>
      <c r="F9" s="227"/>
      <c r="G9" s="227"/>
      <c r="H9" s="228">
        <v>43403</v>
      </c>
      <c r="I9" s="229" t="s">
        <v>386</v>
      </c>
      <c r="J9" s="230" t="s">
        <v>387</v>
      </c>
      <c r="K9" s="229"/>
      <c r="L9" s="230" t="s">
        <v>388</v>
      </c>
      <c r="M9" s="230" t="s">
        <v>389</v>
      </c>
      <c r="N9" s="229" t="s">
        <v>384</v>
      </c>
      <c r="O9" s="231">
        <v>25</v>
      </c>
      <c r="P9" s="231">
        <v>18</v>
      </c>
      <c r="Q9" s="232">
        <f t="shared" si="33"/>
        <v>150</v>
      </c>
      <c r="R9" s="231">
        <f t="shared" si="34"/>
        <v>1</v>
      </c>
      <c r="S9" s="231">
        <v>13</v>
      </c>
      <c r="T9" s="233">
        <f t="shared" si="35"/>
        <v>100</v>
      </c>
      <c r="U9" s="231">
        <f t="shared" si="36"/>
        <v>1</v>
      </c>
      <c r="V9" s="231">
        <v>2</v>
      </c>
      <c r="W9" s="233">
        <f t="shared" si="37"/>
        <v>40</v>
      </c>
      <c r="X9" s="231" t="str">
        <f t="shared" si="38"/>
        <v/>
      </c>
      <c r="Y9" s="231"/>
      <c r="Z9" s="231">
        <f t="shared" si="39"/>
        <v>0</v>
      </c>
      <c r="AA9" s="232">
        <f t="shared" si="1"/>
        <v>90</v>
      </c>
      <c r="AB9" s="231">
        <f t="shared" si="40"/>
        <v>1</v>
      </c>
      <c r="AC9" s="231">
        <v>45</v>
      </c>
      <c r="AD9" s="231">
        <f t="shared" si="2"/>
        <v>90</v>
      </c>
      <c r="AE9" s="231">
        <f t="shared" si="41"/>
        <v>1</v>
      </c>
      <c r="AF9" s="231"/>
      <c r="AG9" s="231">
        <v>1</v>
      </c>
      <c r="AH9" s="232">
        <f>IF(AND(Q9&gt;0,AE9=1,[1]【様式第６号】事業報告書兼チェックシート!B64=""),100,0)</f>
        <v>0</v>
      </c>
      <c r="AI9" s="231" t="str">
        <f t="shared" si="42"/>
        <v/>
      </c>
      <c r="AJ9" s="231"/>
      <c r="AK9" s="231"/>
      <c r="AL9" s="232">
        <f t="shared" si="3"/>
        <v>0</v>
      </c>
      <c r="AM9" s="231" t="str">
        <f t="shared" si="43"/>
        <v/>
      </c>
      <c r="AN9" s="231"/>
      <c r="AO9" s="231"/>
      <c r="AP9" s="231"/>
      <c r="AQ9" s="231"/>
      <c r="AR9" s="231"/>
      <c r="AS9" s="231"/>
      <c r="AT9" s="231"/>
      <c r="AU9" s="231">
        <f t="shared" si="44"/>
        <v>0</v>
      </c>
      <c r="AV9" s="232">
        <f t="shared" si="45"/>
        <v>0</v>
      </c>
      <c r="AW9" s="234"/>
      <c r="AX9" s="234"/>
      <c r="AY9" s="232">
        <f t="shared" si="4"/>
        <v>380</v>
      </c>
      <c r="AZ9" s="234"/>
      <c r="BA9" s="235"/>
      <c r="BB9" s="234"/>
      <c r="BC9" s="232">
        <f t="shared" si="46"/>
        <v>0</v>
      </c>
      <c r="BD9" s="231" t="str">
        <f t="shared" si="47"/>
        <v/>
      </c>
      <c r="BE9" s="234"/>
      <c r="BF9" s="234"/>
      <c r="BG9" s="232" t="e">
        <f>IF(AND(BC9&gt;0,BD9=1,#REF!=""),100,0)</f>
        <v>#REF!</v>
      </c>
      <c r="BH9" s="231" t="str">
        <f t="shared" si="48"/>
        <v/>
      </c>
      <c r="BI9" s="234"/>
      <c r="BJ9" s="234"/>
      <c r="BK9" s="234"/>
      <c r="BL9" s="232">
        <f t="shared" si="49"/>
        <v>0</v>
      </c>
      <c r="BM9" s="231" t="str">
        <f t="shared" si="50"/>
        <v/>
      </c>
      <c r="BN9" s="234"/>
      <c r="BO9" s="234"/>
      <c r="BP9" s="234"/>
      <c r="BQ9" s="232">
        <f t="shared" si="51"/>
        <v>0</v>
      </c>
      <c r="BR9" s="234"/>
      <c r="BS9" s="232">
        <f t="shared" si="5"/>
        <v>0</v>
      </c>
      <c r="BT9" s="236"/>
      <c r="BU9" s="237" t="s">
        <v>9</v>
      </c>
      <c r="BV9" s="238"/>
      <c r="BW9" s="237" t="s">
        <v>359</v>
      </c>
      <c r="BX9" s="238"/>
      <c r="BY9" s="239" t="s">
        <v>8</v>
      </c>
      <c r="BZ9" s="236"/>
      <c r="CA9" s="237" t="s">
        <v>9</v>
      </c>
      <c r="CB9" s="238"/>
      <c r="CC9" s="237" t="s">
        <v>359</v>
      </c>
      <c r="CD9" s="238"/>
      <c r="CE9" s="239" t="s">
        <v>8</v>
      </c>
      <c r="CF9" s="228">
        <v>43409</v>
      </c>
      <c r="CG9" s="240">
        <f t="shared" si="14"/>
        <v>380</v>
      </c>
      <c r="CH9" s="229" t="s">
        <v>360</v>
      </c>
      <c r="CI9" s="229" t="s">
        <v>361</v>
      </c>
      <c r="CJ9" s="225" t="s">
        <v>385</v>
      </c>
      <c r="CK9" s="229">
        <v>100</v>
      </c>
      <c r="CL9" s="241">
        <v>2200</v>
      </c>
      <c r="CM9" s="230" t="s">
        <v>363</v>
      </c>
      <c r="CN9" s="228"/>
      <c r="CO9" s="227"/>
      <c r="CP9" s="227"/>
      <c r="CQ9" s="228"/>
      <c r="CR9" s="228"/>
      <c r="CS9" s="227"/>
      <c r="CT9" s="227"/>
      <c r="CU9" s="227"/>
      <c r="CV9" s="227"/>
      <c r="CW9" s="227"/>
      <c r="CX9" s="227"/>
      <c r="CY9" s="227"/>
      <c r="CZ9"/>
      <c r="DA9" s="227"/>
      <c r="DB9" s="231">
        <v>25</v>
      </c>
      <c r="DC9" s="231">
        <v>18</v>
      </c>
      <c r="DD9" s="234" t="s">
        <v>390</v>
      </c>
      <c r="DE9" s="232">
        <f t="shared" si="6"/>
        <v>150</v>
      </c>
      <c r="DF9" s="232">
        <f t="shared" si="7"/>
        <v>150</v>
      </c>
      <c r="DG9" s="231">
        <f t="shared" si="15"/>
        <v>1</v>
      </c>
      <c r="DH9" s="231">
        <v>13</v>
      </c>
      <c r="DI9" s="234" t="s">
        <v>390</v>
      </c>
      <c r="DJ9" s="233">
        <f t="shared" si="16"/>
        <v>100</v>
      </c>
      <c r="DK9" s="232">
        <f t="shared" si="8"/>
        <v>100</v>
      </c>
      <c r="DL9" s="231">
        <f t="shared" si="17"/>
        <v>1</v>
      </c>
      <c r="DM9" s="231">
        <v>2</v>
      </c>
      <c r="DN9" s="231"/>
      <c r="DO9" s="231" t="str">
        <f t="shared" si="18"/>
        <v/>
      </c>
      <c r="DP9" s="231"/>
      <c r="DQ9" s="234"/>
      <c r="DR9" s="234"/>
      <c r="DS9" s="233">
        <f>IF(AND(DE9&gt;0,DM9&gt;=1),MIN(INT(DM9)*20,200),0)</f>
        <v>40</v>
      </c>
      <c r="DT9" s="232">
        <f>MIN(W9,DS9)</f>
        <v>40</v>
      </c>
      <c r="DU9" s="231" t="str">
        <f t="shared" si="19"/>
        <v/>
      </c>
      <c r="DV9" s="231"/>
      <c r="DW9" s="231">
        <f t="shared" si="9"/>
        <v>0</v>
      </c>
      <c r="DX9" s="231">
        <f t="shared" si="20"/>
        <v>1</v>
      </c>
      <c r="DY9" s="231">
        <v>45</v>
      </c>
      <c r="DZ9" s="234" t="s">
        <v>392</v>
      </c>
      <c r="EA9" s="231">
        <f>IF(AND(DE9&gt;0,DY9&gt;=1),MIN(INT(DY9)*2,150),0)</f>
        <v>90</v>
      </c>
      <c r="EB9" s="232">
        <f t="shared" si="10"/>
        <v>90</v>
      </c>
      <c r="EC9" s="232">
        <f>MIN(AA9,EB9)</f>
        <v>90</v>
      </c>
      <c r="ED9" s="231">
        <f t="shared" si="21"/>
        <v>1</v>
      </c>
      <c r="EE9" s="231"/>
      <c r="EF9" s="231">
        <v>1</v>
      </c>
      <c r="EG9" s="232">
        <f>IF(AND(DE9&gt;0,ED9=1,[1]【様式第６号】事業報告書兼チェックシート!B64=""),100,0)</f>
        <v>0</v>
      </c>
      <c r="EH9" s="232">
        <f>MIN(AH9,EG9)</f>
        <v>0</v>
      </c>
      <c r="EI9" s="231" t="str">
        <f t="shared" si="22"/>
        <v/>
      </c>
      <c r="EJ9" s="231"/>
      <c r="EK9" s="231"/>
      <c r="EL9" s="232">
        <f t="shared" si="11"/>
        <v>0</v>
      </c>
      <c r="EM9" s="232">
        <f>MIN(AL9,EL9)</f>
        <v>0</v>
      </c>
      <c r="EN9" s="231" t="str">
        <f t="shared" si="23"/>
        <v/>
      </c>
      <c r="EO9" s="231"/>
      <c r="EP9" s="231"/>
      <c r="EQ9" s="231"/>
      <c r="ER9" s="231"/>
      <c r="ES9" s="231"/>
      <c r="ET9" s="231"/>
      <c r="EU9" s="231"/>
      <c r="EV9" s="231">
        <f t="shared" si="24"/>
        <v>0</v>
      </c>
      <c r="EW9" s="232">
        <f t="shared" si="25"/>
        <v>0</v>
      </c>
      <c r="EX9" s="232">
        <f>MIN(AV9,EW9)</f>
        <v>0</v>
      </c>
      <c r="EY9" s="234"/>
      <c r="EZ9" s="234"/>
      <c r="FA9" s="234"/>
      <c r="FB9" s="234"/>
      <c r="FC9" s="234"/>
      <c r="FD9" s="232">
        <f>IF(D9="新築",MIN(1500,CG9,MIN(DF9+DK9+DT9+EC9+EH9+EM9+EX9,1000)),0)</f>
        <v>380</v>
      </c>
      <c r="FE9" s="232">
        <f>AY9-FD9</f>
        <v>0</v>
      </c>
      <c r="FF9" s="234"/>
      <c r="FG9" s="242"/>
      <c r="FH9" s="242"/>
      <c r="FI9" s="234"/>
      <c r="FJ9" s="234"/>
      <c r="FK9" s="232">
        <f t="shared" si="26"/>
        <v>0</v>
      </c>
      <c r="FL9" s="232">
        <f>MIN(BC9,FK9)</f>
        <v>0</v>
      </c>
      <c r="FM9" s="231" t="str">
        <f t="shared" si="27"/>
        <v/>
      </c>
      <c r="FN9" s="234"/>
      <c r="FO9" s="234"/>
      <c r="FP9" s="232" t="e">
        <f>IF(AND(FK9&gt;0,FM9=1,#REF!=""),100,0)</f>
        <v>#REF!</v>
      </c>
      <c r="FQ9" s="232" t="e">
        <f>MIN(BG9,FP9)</f>
        <v>#REF!</v>
      </c>
      <c r="FR9" s="231" t="str">
        <f t="shared" si="28"/>
        <v/>
      </c>
      <c r="FS9" s="234"/>
      <c r="FT9" s="234"/>
      <c r="FU9" s="234"/>
      <c r="FV9" s="232">
        <f t="shared" si="29"/>
        <v>0</v>
      </c>
      <c r="FW9" s="232">
        <f>MIN(BL9,FV9)</f>
        <v>0</v>
      </c>
      <c r="FX9" s="231" t="str">
        <f t="shared" si="30"/>
        <v/>
      </c>
      <c r="FY9" s="234"/>
      <c r="FZ9" s="234"/>
      <c r="GA9" s="234"/>
      <c r="GB9" s="232">
        <f t="shared" si="31"/>
        <v>0</v>
      </c>
      <c r="GC9" s="232">
        <f>MIN(BQ9,GB9)</f>
        <v>0</v>
      </c>
      <c r="GD9" s="234"/>
      <c r="GE9" s="234"/>
      <c r="GF9" s="232">
        <f>IF(D9="改修",MIN(500,FL9+FQ9+FW9+GC9,INT(CL9*10/2)),0)</f>
        <v>0</v>
      </c>
      <c r="GG9" s="232">
        <f>BS9-GF9</f>
        <v>0</v>
      </c>
      <c r="GH9" s="227" t="s">
        <v>368</v>
      </c>
      <c r="GI9" s="228">
        <v>43403</v>
      </c>
      <c r="GJ9" s="228">
        <v>43409</v>
      </c>
      <c r="GK9" s="228">
        <v>43429</v>
      </c>
      <c r="GL9" s="240">
        <f>IF(D9="新築",AY9,IF(D9="改修",BS9,0))</f>
        <v>380</v>
      </c>
      <c r="GM9" s="240">
        <f t="shared" si="12"/>
        <v>380</v>
      </c>
      <c r="GN9" s="240">
        <f t="shared" si="32"/>
        <v>0</v>
      </c>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c r="IW9" s="92"/>
      <c r="IX9" s="92"/>
      <c r="IY9" s="92"/>
      <c r="IZ9" s="92"/>
      <c r="JA9" s="92"/>
      <c r="JB9" s="92"/>
      <c r="JC9" s="92"/>
      <c r="JD9" s="92"/>
      <c r="JE9" s="92"/>
      <c r="JF9" s="92"/>
      <c r="JG9" s="92"/>
      <c r="JH9" s="92"/>
      <c r="JI9" s="92"/>
      <c r="JJ9" s="92"/>
      <c r="JK9" s="92"/>
      <c r="JL9" s="92"/>
      <c r="JM9" s="92"/>
      <c r="JN9" s="92"/>
      <c r="JO9" s="92"/>
      <c r="JP9" s="92"/>
      <c r="JQ9" s="92"/>
      <c r="JR9" s="92"/>
      <c r="JS9" s="92"/>
      <c r="JT9" s="92"/>
      <c r="JU9" s="92"/>
      <c r="JV9" s="92"/>
      <c r="JW9" s="92"/>
      <c r="JX9" s="92"/>
      <c r="JY9" s="92"/>
      <c r="JZ9" s="92"/>
      <c r="KA9" s="92"/>
      <c r="KB9" s="92"/>
      <c r="KC9" s="92"/>
      <c r="KD9" s="92"/>
      <c r="KE9" s="92"/>
      <c r="KF9" s="92"/>
      <c r="KG9" s="92"/>
      <c r="KH9" s="92"/>
      <c r="KI9" s="92"/>
      <c r="KJ9" s="92"/>
      <c r="KK9" s="92"/>
      <c r="KL9" s="92"/>
      <c r="KM9" s="92"/>
      <c r="KN9" s="92"/>
      <c r="KO9" s="92"/>
      <c r="KP9" s="92"/>
      <c r="KQ9" s="92"/>
      <c r="KR9" s="92"/>
      <c r="KS9" s="92"/>
      <c r="KT9" s="92"/>
      <c r="KU9" s="92"/>
      <c r="KV9" s="92"/>
      <c r="KW9" s="92"/>
      <c r="KX9" s="92"/>
      <c r="KY9" s="92"/>
      <c r="KZ9" s="92"/>
      <c r="LA9" s="92"/>
      <c r="LB9" s="92"/>
      <c r="LC9" s="92"/>
      <c r="LD9" s="92"/>
      <c r="LE9" s="92"/>
      <c r="LF9" s="92"/>
      <c r="LG9" s="92"/>
      <c r="LH9" s="92"/>
      <c r="LI9" s="92"/>
      <c r="LJ9" s="92"/>
      <c r="LK9" s="92"/>
      <c r="LL9" s="92"/>
      <c r="LM9" s="92"/>
      <c r="LN9" s="92"/>
      <c r="LO9" s="92"/>
      <c r="LP9" s="92"/>
      <c r="LQ9" s="92"/>
      <c r="LR9" s="92"/>
      <c r="LS9" s="92"/>
      <c r="LT9" s="92"/>
      <c r="LU9" s="92"/>
      <c r="LV9" s="92"/>
      <c r="LW9" s="92"/>
      <c r="LX9" s="92"/>
      <c r="LY9" s="92"/>
      <c r="LZ9" s="92"/>
      <c r="MA9" s="92"/>
      <c r="MB9" s="92"/>
      <c r="MC9" s="92"/>
      <c r="MD9" s="92"/>
      <c r="ME9" s="92"/>
      <c r="MF9" s="92"/>
      <c r="MG9" s="92"/>
      <c r="MH9" s="92"/>
      <c r="MI9" s="92"/>
      <c r="MJ9" s="92"/>
      <c r="MK9" s="92"/>
      <c r="ML9" s="92"/>
      <c r="MM9" s="92"/>
      <c r="MN9" s="92"/>
      <c r="MO9" s="92"/>
      <c r="MP9" s="92"/>
      <c r="MQ9" s="92"/>
      <c r="MR9" s="92"/>
      <c r="MS9" s="92"/>
      <c r="MT9" s="92"/>
      <c r="MU9" s="92"/>
      <c r="MV9" s="92"/>
      <c r="MW9" s="92"/>
      <c r="MX9" s="92"/>
      <c r="MY9" s="92"/>
      <c r="MZ9" s="92"/>
      <c r="NA9" s="92"/>
      <c r="NB9" s="92"/>
      <c r="NC9" s="92"/>
      <c r="ND9" s="92"/>
      <c r="NE9" s="92"/>
      <c r="NF9" s="92"/>
      <c r="NG9" s="92"/>
      <c r="NH9" s="92"/>
      <c r="NI9" s="92"/>
      <c r="NJ9" s="92"/>
      <c r="NK9" s="92"/>
      <c r="NL9" s="92"/>
      <c r="NM9" s="92"/>
      <c r="NN9" s="92"/>
      <c r="NO9" s="92"/>
      <c r="NP9" s="92"/>
      <c r="NQ9" s="92"/>
      <c r="NR9" s="92"/>
      <c r="NS9" s="92"/>
      <c r="NT9" s="92"/>
      <c r="NU9" s="92"/>
      <c r="NV9" s="92"/>
      <c r="NW9" s="92"/>
      <c r="NX9" s="92"/>
      <c r="NY9" s="92"/>
      <c r="NZ9" s="92"/>
      <c r="OA9" s="92"/>
      <c r="OB9" s="92"/>
      <c r="OC9" s="92"/>
      <c r="OD9" s="92"/>
      <c r="OE9" s="92"/>
      <c r="OF9" s="92"/>
      <c r="OG9" s="92"/>
      <c r="OH9" s="92"/>
      <c r="OI9" s="92"/>
      <c r="OJ9" s="92"/>
      <c r="OK9" s="92"/>
      <c r="OL9" s="92"/>
      <c r="OM9" s="92"/>
      <c r="ON9" s="92"/>
      <c r="OO9" s="92"/>
      <c r="OP9" s="92"/>
      <c r="OQ9" s="92"/>
      <c r="OR9" s="92"/>
      <c r="OS9" s="92"/>
      <c r="OT9" s="92"/>
      <c r="OU9" s="92"/>
      <c r="OV9" s="92"/>
      <c r="OW9" s="92"/>
      <c r="OX9" s="92"/>
      <c r="OY9" s="92"/>
      <c r="OZ9" s="92"/>
      <c r="PA9" s="92"/>
      <c r="PB9" s="92"/>
      <c r="PC9" s="92"/>
      <c r="PD9" s="92"/>
      <c r="PE9" s="92"/>
      <c r="PF9" s="92"/>
      <c r="PG9" s="92"/>
      <c r="PH9" s="92"/>
      <c r="PI9" s="92"/>
      <c r="PJ9" s="92"/>
      <c r="PK9" s="92"/>
      <c r="PL9" s="92"/>
      <c r="PM9" s="92"/>
      <c r="PN9" s="92"/>
      <c r="PO9" s="92"/>
      <c r="PP9" s="92"/>
      <c r="PQ9" s="92"/>
      <c r="PR9" s="92"/>
      <c r="PS9" s="92"/>
      <c r="PT9" s="92"/>
      <c r="PU9" s="92"/>
      <c r="PV9" s="92"/>
      <c r="PW9" s="92"/>
      <c r="PX9" s="92"/>
      <c r="PY9" s="92"/>
      <c r="PZ9" s="92"/>
      <c r="QA9" s="92"/>
      <c r="QB9" s="92"/>
      <c r="QC9" s="92"/>
      <c r="QD9" s="92"/>
      <c r="QE9" s="92"/>
      <c r="QF9" s="92"/>
      <c r="QG9" s="92"/>
      <c r="QH9" s="92"/>
      <c r="QI9" s="92"/>
      <c r="QJ9" s="92"/>
      <c r="QK9" s="92"/>
      <c r="QL9" s="92"/>
      <c r="QM9" s="92"/>
      <c r="QN9" s="92"/>
      <c r="QO9" s="92"/>
      <c r="QP9" s="92"/>
      <c r="QQ9" s="92"/>
      <c r="QR9" s="92"/>
      <c r="QS9" s="92"/>
      <c r="QT9" s="92"/>
      <c r="QU9" s="92"/>
      <c r="QV9" s="92"/>
      <c r="QW9" s="92"/>
      <c r="QX9" s="92"/>
      <c r="QY9" s="92"/>
      <c r="QZ9" s="92"/>
      <c r="RA9" s="92"/>
      <c r="RB9" s="92"/>
      <c r="RC9" s="92"/>
      <c r="RD9" s="92"/>
      <c r="RE9" s="92"/>
      <c r="RF9" s="92"/>
      <c r="RG9" s="92"/>
      <c r="RH9" s="92"/>
      <c r="RI9" s="92"/>
      <c r="RJ9" s="92"/>
      <c r="RK9" s="92"/>
      <c r="RL9" s="92"/>
      <c r="RM9" s="92"/>
      <c r="RN9" s="92"/>
      <c r="RO9" s="92"/>
      <c r="RP9" s="92"/>
      <c r="RQ9" s="92"/>
      <c r="RR9" s="92"/>
      <c r="RS9" s="92"/>
      <c r="RT9" s="92"/>
      <c r="RU9" s="92"/>
      <c r="RV9" s="92"/>
      <c r="RW9" s="92"/>
      <c r="RX9" s="92"/>
      <c r="RY9" s="92"/>
      <c r="RZ9" s="92"/>
      <c r="SA9" s="92"/>
      <c r="SB9" s="92"/>
      <c r="SC9" s="92"/>
      <c r="SD9" s="92"/>
      <c r="SE9" s="92"/>
      <c r="SF9" s="92"/>
      <c r="SG9" s="92"/>
      <c r="SH9" s="92"/>
      <c r="SI9" s="92"/>
      <c r="SJ9" s="92"/>
      <c r="SK9" s="92"/>
      <c r="SL9" s="92"/>
      <c r="SM9" s="92"/>
      <c r="SN9" s="92"/>
      <c r="SO9" s="92"/>
      <c r="SP9" s="92"/>
      <c r="SQ9" s="92"/>
      <c r="SR9" s="92"/>
      <c r="SS9" s="92"/>
      <c r="ST9" s="92"/>
      <c r="SU9" s="92"/>
      <c r="SV9" s="92"/>
      <c r="SW9" s="92"/>
      <c r="SX9" s="92"/>
      <c r="SY9" s="92"/>
      <c r="SZ9" s="92"/>
      <c r="TA9" s="92"/>
      <c r="TB9" s="92"/>
      <c r="TC9" s="92"/>
      <c r="TD9" s="92"/>
      <c r="TE9" s="92"/>
      <c r="TF9" s="92"/>
      <c r="TG9" s="92"/>
      <c r="TH9" s="92"/>
      <c r="TI9" s="92"/>
      <c r="TJ9" s="92"/>
      <c r="TK9" s="92"/>
      <c r="TL9" s="92"/>
      <c r="TM9" s="92"/>
      <c r="TN9" s="92"/>
      <c r="TO9" s="92"/>
      <c r="TP9" s="92"/>
      <c r="TQ9" s="92"/>
      <c r="TR9" s="92"/>
      <c r="TS9" s="92"/>
      <c r="TT9" s="92"/>
      <c r="TU9" s="92"/>
      <c r="TV9" s="92"/>
      <c r="TW9" s="92"/>
      <c r="TX9" s="92"/>
      <c r="TY9" s="92"/>
      <c r="TZ9" s="92"/>
      <c r="UA9" s="92"/>
      <c r="UB9" s="92"/>
      <c r="UC9" s="92"/>
      <c r="UD9" s="92"/>
      <c r="UE9" s="92"/>
      <c r="UF9" s="92"/>
      <c r="UG9" s="92"/>
      <c r="UH9" s="92"/>
      <c r="UI9" s="92"/>
      <c r="UJ9" s="92"/>
      <c r="UK9" s="92"/>
      <c r="UL9" s="92"/>
      <c r="UM9" s="92"/>
      <c r="UN9" s="92"/>
      <c r="UO9" s="92"/>
      <c r="UP9" s="92"/>
      <c r="UQ9" s="92"/>
      <c r="UR9" s="92"/>
      <c r="US9" s="92"/>
      <c r="UT9" s="92"/>
      <c r="UU9" s="92"/>
      <c r="UV9" s="92"/>
      <c r="UW9" s="92"/>
      <c r="UX9" s="92"/>
      <c r="UY9" s="92"/>
      <c r="UZ9" s="92"/>
      <c r="VA9" s="92"/>
      <c r="VB9" s="92"/>
      <c r="VC9" s="92"/>
      <c r="VD9" s="92"/>
      <c r="VE9" s="92"/>
      <c r="VF9" s="92"/>
      <c r="VG9" s="92"/>
      <c r="VH9" s="92"/>
      <c r="VI9" s="92"/>
      <c r="VJ9" s="92"/>
      <c r="VK9" s="92"/>
      <c r="VL9" s="92"/>
      <c r="VM9" s="92"/>
      <c r="VN9" s="92"/>
      <c r="VO9" s="92"/>
      <c r="VP9" s="92"/>
      <c r="VQ9" s="92"/>
      <c r="VR9" s="92"/>
      <c r="VS9" s="92"/>
      <c r="VT9" s="92"/>
      <c r="VU9" s="92"/>
      <c r="VV9" s="92"/>
      <c r="VW9" s="92"/>
      <c r="VX9" s="92"/>
      <c r="VY9" s="92"/>
      <c r="VZ9" s="92"/>
      <c r="WA9" s="92"/>
      <c r="WB9" s="92"/>
      <c r="WC9" s="92"/>
      <c r="WD9" s="92"/>
      <c r="WE9" s="92"/>
      <c r="WF9" s="92"/>
      <c r="WG9" s="92"/>
      <c r="WH9" s="92"/>
      <c r="WI9" s="92"/>
      <c r="WJ9" s="92"/>
      <c r="WK9" s="92"/>
      <c r="WL9" s="92"/>
      <c r="WM9" s="92"/>
      <c r="WN9" s="92"/>
      <c r="WO9" s="92"/>
      <c r="WP9" s="92"/>
      <c r="WQ9" s="92"/>
      <c r="WR9" s="92"/>
      <c r="WS9" s="92"/>
      <c r="WT9" s="92"/>
      <c r="WU9" s="92"/>
      <c r="WV9" s="92"/>
      <c r="WW9" s="92"/>
      <c r="WX9" s="92"/>
      <c r="WY9" s="92"/>
      <c r="WZ9" s="92"/>
      <c r="XA9" s="92"/>
      <c r="XB9" s="92"/>
      <c r="XC9" s="92"/>
      <c r="XD9" s="92"/>
      <c r="XE9" s="92"/>
      <c r="XF9" s="92"/>
      <c r="XG9" s="92"/>
      <c r="XH9" s="92"/>
      <c r="XI9" s="92"/>
      <c r="XJ9" s="92"/>
      <c r="XK9" s="92"/>
      <c r="XL9" s="92"/>
      <c r="XM9" s="92"/>
      <c r="XN9" s="92"/>
      <c r="XO9" s="92"/>
      <c r="XP9" s="92"/>
      <c r="XQ9" s="92"/>
      <c r="XR9" s="92"/>
      <c r="XS9" s="92"/>
      <c r="XT9" s="92"/>
      <c r="XU9" s="92"/>
      <c r="XV9" s="92"/>
      <c r="XW9" s="92"/>
      <c r="XX9" s="92"/>
      <c r="XY9" s="92"/>
      <c r="XZ9" s="92"/>
      <c r="YA9" s="92"/>
      <c r="YB9" s="92"/>
      <c r="YC9" s="92"/>
      <c r="YD9" s="92"/>
      <c r="YE9" s="92"/>
      <c r="YF9" s="92"/>
      <c r="YG9" s="92"/>
      <c r="YH9" s="92"/>
      <c r="YI9" s="92"/>
      <c r="YJ9" s="92"/>
      <c r="YK9" s="92"/>
      <c r="YL9" s="92"/>
      <c r="YM9" s="92"/>
      <c r="YN9" s="92"/>
      <c r="YO9" s="92"/>
      <c r="YP9" s="92"/>
      <c r="YQ9" s="92"/>
      <c r="YR9" s="92"/>
      <c r="YS9" s="92"/>
      <c r="YT9" s="92"/>
      <c r="YU9" s="92"/>
      <c r="YV9" s="92"/>
      <c r="YW9" s="92"/>
      <c r="YX9" s="92"/>
      <c r="YY9" s="92"/>
      <c r="YZ9" s="92"/>
      <c r="ZA9" s="92"/>
      <c r="ZB9" s="92"/>
      <c r="ZC9" s="92"/>
      <c r="ZD9" s="92"/>
      <c r="ZE9" s="92"/>
      <c r="ZF9" s="92"/>
      <c r="ZG9" s="92"/>
      <c r="ZH9" s="92"/>
      <c r="ZI9" s="92"/>
      <c r="ZJ9" s="92"/>
      <c r="ZK9" s="92"/>
      <c r="ZL9" s="92"/>
      <c r="ZM9" s="92"/>
      <c r="ZN9" s="92"/>
      <c r="ZO9" s="92"/>
      <c r="ZP9" s="92"/>
      <c r="ZQ9" s="92"/>
      <c r="ZR9" s="92"/>
      <c r="ZS9" s="92"/>
      <c r="ZT9" s="92"/>
      <c r="ZU9" s="92"/>
      <c r="ZV9" s="92"/>
      <c r="ZW9" s="92"/>
      <c r="ZX9" s="92"/>
      <c r="ZY9" s="92"/>
      <c r="ZZ9" s="92"/>
      <c r="AAA9" s="92"/>
      <c r="AAB9" s="92"/>
      <c r="AAC9" s="92"/>
      <c r="AAD9" s="92"/>
      <c r="AAE9" s="92"/>
      <c r="AAF9" s="92"/>
      <c r="AAG9" s="92"/>
      <c r="AAH9" s="92"/>
      <c r="AAI9" s="92"/>
      <c r="AAJ9" s="92"/>
      <c r="AAK9" s="92"/>
      <c r="AAL9" s="92"/>
      <c r="AAM9" s="92"/>
      <c r="AAN9" s="92"/>
      <c r="AAO9" s="92"/>
      <c r="AAP9" s="92"/>
      <c r="AAQ9" s="92"/>
      <c r="AAR9" s="92"/>
      <c r="AAS9" s="92"/>
      <c r="AAT9" s="92"/>
      <c r="AAU9" s="92"/>
      <c r="AAV9" s="92"/>
      <c r="AAW9" s="92"/>
      <c r="AAX9" s="92"/>
      <c r="AAY9" s="92"/>
      <c r="AAZ9" s="92"/>
      <c r="ABA9" s="92"/>
      <c r="ABB9" s="92"/>
      <c r="ABC9" s="92"/>
      <c r="ABD9" s="92"/>
      <c r="ABE9" s="92"/>
      <c r="ABF9" s="92"/>
      <c r="ABG9" s="92"/>
      <c r="ABH9" s="92"/>
      <c r="ABI9" s="92"/>
      <c r="ABJ9" s="92"/>
      <c r="ABK9" s="92"/>
      <c r="ABL9" s="92"/>
      <c r="ABM9" s="92"/>
      <c r="ABN9" s="92"/>
      <c r="ABO9" s="92"/>
      <c r="ABP9" s="92"/>
      <c r="ABQ9" s="92"/>
      <c r="ABR9" s="92"/>
      <c r="ABS9" s="92"/>
      <c r="ABT9" s="92"/>
      <c r="ABU9" s="92"/>
      <c r="ABV9" s="92"/>
      <c r="ABW9" s="92"/>
      <c r="ABX9" s="92"/>
      <c r="ABY9" s="92"/>
      <c r="ABZ9" s="92"/>
      <c r="ACA9" s="92"/>
      <c r="ACB9" s="92"/>
      <c r="ACC9" s="92"/>
      <c r="ACD9" s="92"/>
      <c r="ACE9" s="92"/>
      <c r="ACF9" s="92"/>
      <c r="ACG9" s="92"/>
      <c r="ACH9" s="92"/>
      <c r="ACI9" s="92"/>
      <c r="ACJ9" s="92"/>
      <c r="ACK9" s="92"/>
      <c r="ACL9" s="92"/>
      <c r="ACM9" s="92"/>
      <c r="ACN9" s="92"/>
      <c r="ACO9" s="92"/>
      <c r="ACP9" s="92"/>
      <c r="ACQ9" s="92"/>
      <c r="ACR9" s="92"/>
      <c r="ACS9" s="92"/>
      <c r="ACT9" s="92"/>
      <c r="ACU9" s="92"/>
      <c r="ACV9" s="92"/>
      <c r="ACW9" s="92"/>
      <c r="ACX9" s="92"/>
      <c r="ACY9" s="92"/>
      <c r="ACZ9" s="92"/>
      <c r="ADA9" s="92"/>
      <c r="ADB9" s="92"/>
      <c r="ADC9" s="92"/>
      <c r="ADD9" s="92"/>
      <c r="ADE9" s="92"/>
      <c r="ADF9" s="92"/>
      <c r="ADG9" s="92"/>
      <c r="ADH9" s="92"/>
      <c r="ADI9" s="92"/>
      <c r="ADJ9" s="92"/>
      <c r="ADK9" s="92"/>
      <c r="ADL9" s="92"/>
      <c r="ADM9" s="92"/>
      <c r="ADN9" s="92"/>
      <c r="ADO9" s="92"/>
      <c r="ADP9" s="92"/>
      <c r="ADQ9" s="92"/>
      <c r="ADR9" s="92"/>
      <c r="ADS9" s="92"/>
      <c r="ADT9" s="92"/>
      <c r="ADU9" s="92"/>
      <c r="ADV9" s="92"/>
      <c r="ADW9" s="92"/>
      <c r="ADX9" s="92"/>
      <c r="ADY9" s="92"/>
      <c r="ADZ9" s="92"/>
      <c r="AEA9" s="92"/>
      <c r="AEB9" s="92"/>
      <c r="AEC9" s="92"/>
      <c r="AED9" s="92"/>
      <c r="AEE9" s="92"/>
      <c r="AEF9" s="92"/>
      <c r="AEG9" s="92"/>
      <c r="AEH9" s="92"/>
      <c r="AEI9" s="92"/>
      <c r="AEJ9" s="92"/>
      <c r="AEK9" s="92"/>
      <c r="AEL9" s="92"/>
      <c r="AEM9" s="92"/>
      <c r="AEN9" s="92"/>
      <c r="AEO9" s="92"/>
      <c r="AEP9" s="92"/>
      <c r="AEQ9" s="92"/>
      <c r="AER9" s="92"/>
      <c r="AES9" s="92"/>
      <c r="AET9" s="92"/>
      <c r="AEU9" s="92"/>
      <c r="AEV9" s="92"/>
      <c r="AEW9" s="92"/>
      <c r="AEX9" s="92"/>
      <c r="AEY9" s="92"/>
      <c r="AEZ9" s="92"/>
      <c r="AFA9" s="92"/>
      <c r="AFB9" s="92"/>
      <c r="AFC9" s="92"/>
      <c r="AFD9" s="92"/>
      <c r="AFE9" s="92"/>
      <c r="AFF9" s="92"/>
      <c r="AFG9" s="92"/>
      <c r="AFH9" s="92"/>
      <c r="AFI9" s="92"/>
      <c r="AFJ9" s="92"/>
      <c r="AFK9" s="92"/>
      <c r="AFL9" s="92"/>
      <c r="AFM9" s="92"/>
      <c r="AFN9" s="92"/>
      <c r="AFO9" s="92"/>
      <c r="AFP9" s="92"/>
      <c r="AFQ9" s="92"/>
      <c r="AFR9" s="92"/>
      <c r="AFS9" s="92"/>
      <c r="AFT9" s="92"/>
      <c r="AFU9" s="92"/>
      <c r="AFV9" s="92"/>
      <c r="AFW9" s="92"/>
      <c r="AFX9" s="92"/>
      <c r="AFY9" s="92"/>
      <c r="AFZ9" s="92"/>
      <c r="AGA9" s="92"/>
      <c r="AGB9" s="92"/>
      <c r="AGC9" s="92"/>
      <c r="AGD9" s="92"/>
      <c r="AGE9" s="92"/>
      <c r="AGF9" s="92"/>
      <c r="AGG9" s="92"/>
      <c r="AGH9" s="92"/>
      <c r="AGI9" s="92"/>
      <c r="AGJ9" s="92"/>
      <c r="AGK9" s="92"/>
      <c r="AGL9" s="92"/>
      <c r="AGM9" s="92"/>
      <c r="AGN9" s="92"/>
      <c r="AGO9" s="92"/>
      <c r="AGP9" s="92"/>
    </row>
    <row r="10" spans="2:874" ht="12" hidden="1" customHeight="1" x14ac:dyDescent="0.2">
      <c r="B10" s="244" t="str">
        <f t="shared" si="0"/>
        <v/>
      </c>
      <c r="C10" s="245"/>
      <c r="D10" s="246"/>
      <c r="E10" s="247" t="str">
        <f t="shared" si="13"/>
        <v/>
      </c>
      <c r="F10" s="248"/>
      <c r="G10" s="248"/>
      <c r="H10" s="249"/>
      <c r="I10" s="248"/>
      <c r="J10" s="246"/>
      <c r="K10" s="248"/>
      <c r="L10" s="246"/>
      <c r="M10" s="246"/>
      <c r="N10" s="248"/>
      <c r="O10" s="250"/>
      <c r="P10" s="250"/>
      <c r="Q10" s="250">
        <f t="shared" si="33"/>
        <v>0</v>
      </c>
      <c r="R10" s="250" t="str">
        <f t="shared" si="34"/>
        <v/>
      </c>
      <c r="S10" s="250"/>
      <c r="T10" s="251">
        <f t="shared" si="35"/>
        <v>0</v>
      </c>
      <c r="U10" s="250" t="str">
        <f t="shared" si="36"/>
        <v/>
      </c>
      <c r="V10" s="250"/>
      <c r="W10" s="251">
        <f t="shared" si="37"/>
        <v>0</v>
      </c>
      <c r="X10" s="250" t="str">
        <f t="shared" si="38"/>
        <v/>
      </c>
      <c r="Y10" s="250"/>
      <c r="Z10" s="250">
        <f t="shared" si="39"/>
        <v>0</v>
      </c>
      <c r="AA10" s="250">
        <f t="shared" si="1"/>
        <v>0</v>
      </c>
      <c r="AB10" s="250" t="str">
        <f t="shared" si="40"/>
        <v/>
      </c>
      <c r="AC10" s="250"/>
      <c r="AD10" s="250">
        <f t="shared" si="2"/>
        <v>0</v>
      </c>
      <c r="AE10" s="250" t="str">
        <f t="shared" si="41"/>
        <v/>
      </c>
      <c r="AF10" s="250"/>
      <c r="AG10" s="250"/>
      <c r="AH10" s="250">
        <f>IF(AND(Q10&gt;0,AE10=1,[1]【様式第６号】事業報告書兼チェックシート!B65=""),100,0)</f>
        <v>0</v>
      </c>
      <c r="AI10" s="250" t="str">
        <f t="shared" si="42"/>
        <v/>
      </c>
      <c r="AJ10" s="250"/>
      <c r="AK10" s="250"/>
      <c r="AL10" s="250">
        <f t="shared" si="3"/>
        <v>0</v>
      </c>
      <c r="AM10" s="250" t="str">
        <f t="shared" si="43"/>
        <v/>
      </c>
      <c r="AN10" s="250"/>
      <c r="AO10" s="250"/>
      <c r="AP10" s="250"/>
      <c r="AQ10" s="250"/>
      <c r="AR10" s="250"/>
      <c r="AS10" s="250"/>
      <c r="AT10" s="250"/>
      <c r="AU10" s="250">
        <f t="shared" si="44"/>
        <v>0</v>
      </c>
      <c r="AV10" s="250">
        <f t="shared" si="45"/>
        <v>0</v>
      </c>
      <c r="AW10" s="250"/>
      <c r="AX10" s="250"/>
      <c r="AY10" s="250">
        <f t="shared" si="4"/>
        <v>0</v>
      </c>
      <c r="AZ10" s="250"/>
      <c r="BA10" s="252"/>
      <c r="BB10" s="250"/>
      <c r="BC10" s="250">
        <f t="shared" si="46"/>
        <v>0</v>
      </c>
      <c r="BD10" s="250" t="str">
        <f t="shared" si="47"/>
        <v/>
      </c>
      <c r="BE10" s="250"/>
      <c r="BF10" s="250"/>
      <c r="BG10" s="250" t="e">
        <f>IF(AND(BC10&gt;0,BD10=1,#REF!=""),100,0)</f>
        <v>#REF!</v>
      </c>
      <c r="BH10" s="250" t="str">
        <f t="shared" si="48"/>
        <v/>
      </c>
      <c r="BI10" s="250"/>
      <c r="BJ10" s="250"/>
      <c r="BK10" s="250"/>
      <c r="BL10" s="250">
        <f t="shared" si="49"/>
        <v>0</v>
      </c>
      <c r="BM10" s="250" t="str">
        <f t="shared" si="50"/>
        <v/>
      </c>
      <c r="BN10" s="250"/>
      <c r="BO10" s="250"/>
      <c r="BP10" s="250"/>
      <c r="BQ10" s="250">
        <f t="shared" si="51"/>
        <v>0</v>
      </c>
      <c r="BR10" s="250"/>
      <c r="BS10" s="250">
        <f t="shared" si="5"/>
        <v>0</v>
      </c>
      <c r="BT10" s="253"/>
      <c r="BU10" s="254"/>
      <c r="BV10" s="254"/>
      <c r="BW10" s="254"/>
      <c r="BX10" s="254"/>
      <c r="BY10" s="255"/>
      <c r="BZ10" s="253"/>
      <c r="CA10" s="254"/>
      <c r="CB10" s="254"/>
      <c r="CC10" s="254"/>
      <c r="CD10" s="254"/>
      <c r="CE10" s="255"/>
      <c r="CF10" s="249"/>
      <c r="CG10" s="256">
        <f t="shared" si="14"/>
        <v>0</v>
      </c>
      <c r="CH10" s="248"/>
      <c r="CI10" s="248"/>
      <c r="CJ10" s="246"/>
      <c r="CK10" s="248"/>
      <c r="CL10" s="257"/>
      <c r="CM10" s="246"/>
      <c r="CN10" s="249"/>
      <c r="CO10" s="248"/>
      <c r="CP10" s="248"/>
      <c r="CQ10" s="249"/>
      <c r="CR10" s="249"/>
      <c r="CS10" s="248"/>
      <c r="CT10" s="248"/>
      <c r="CU10" s="248"/>
      <c r="CV10" s="248"/>
      <c r="CW10" s="248"/>
      <c r="CX10" s="248"/>
      <c r="CY10" s="248"/>
      <c r="CZ10" s="258"/>
      <c r="DA10" s="248"/>
      <c r="DB10" s="250"/>
      <c r="DC10" s="250"/>
      <c r="DD10" s="250"/>
      <c r="DE10" s="250">
        <f t="shared" si="6"/>
        <v>0</v>
      </c>
      <c r="DF10" s="250">
        <f t="shared" si="7"/>
        <v>0</v>
      </c>
      <c r="DG10" s="250" t="str">
        <f t="shared" si="15"/>
        <v/>
      </c>
      <c r="DH10" s="250"/>
      <c r="DI10" s="250"/>
      <c r="DJ10" s="251">
        <f t="shared" si="16"/>
        <v>0</v>
      </c>
      <c r="DK10" s="250">
        <f t="shared" si="8"/>
        <v>0</v>
      </c>
      <c r="DL10" s="250" t="str">
        <f t="shared" si="17"/>
        <v/>
      </c>
      <c r="DM10" s="250"/>
      <c r="DN10" s="250"/>
      <c r="DO10" s="250" t="str">
        <f t="shared" si="18"/>
        <v/>
      </c>
      <c r="DP10" s="250"/>
      <c r="DQ10" s="250"/>
      <c r="DR10" s="250"/>
      <c r="DS10" s="251">
        <f>IF(AND(DE10&gt;0,DM10&gt;=1),MIN(INT(DM10)*20,200),0)</f>
        <v>0</v>
      </c>
      <c r="DT10" s="250">
        <f>MIN(W10,DS10)</f>
        <v>0</v>
      </c>
      <c r="DU10" s="250" t="str">
        <f t="shared" si="19"/>
        <v/>
      </c>
      <c r="DV10" s="250"/>
      <c r="DW10" s="250">
        <f t="shared" si="9"/>
        <v>0</v>
      </c>
      <c r="DX10" s="250" t="str">
        <f t="shared" si="20"/>
        <v/>
      </c>
      <c r="DY10" s="250"/>
      <c r="DZ10" s="250"/>
      <c r="EA10" s="250">
        <f>IF(AND(DE10&gt;0,DY10&gt;=1),MIN(INT(DY10)*2,150),0)</f>
        <v>0</v>
      </c>
      <c r="EB10" s="250">
        <f t="shared" si="10"/>
        <v>0</v>
      </c>
      <c r="EC10" s="250">
        <f>MIN(AA10,EB10)</f>
        <v>0</v>
      </c>
      <c r="ED10" s="250" t="str">
        <f t="shared" si="21"/>
        <v/>
      </c>
      <c r="EE10" s="250"/>
      <c r="EF10" s="250"/>
      <c r="EG10" s="250">
        <f>IF(AND(DE10&gt;0,ED10=1,[1]【様式第６号】事業報告書兼チェックシート!B65=""),100,0)</f>
        <v>0</v>
      </c>
      <c r="EH10" s="250">
        <f>MIN(AH10,EG10)</f>
        <v>0</v>
      </c>
      <c r="EI10" s="250" t="str">
        <f t="shared" si="22"/>
        <v/>
      </c>
      <c r="EJ10" s="250"/>
      <c r="EK10" s="250"/>
      <c r="EL10" s="250">
        <f t="shared" si="11"/>
        <v>0</v>
      </c>
      <c r="EM10" s="250">
        <f>MIN(AL10,EL10)</f>
        <v>0</v>
      </c>
      <c r="EN10" s="250" t="str">
        <f t="shared" si="23"/>
        <v/>
      </c>
      <c r="EO10" s="250"/>
      <c r="EP10" s="250"/>
      <c r="EQ10" s="250"/>
      <c r="ER10" s="250"/>
      <c r="ES10" s="250"/>
      <c r="ET10" s="250"/>
      <c r="EU10" s="250"/>
      <c r="EV10" s="250">
        <f t="shared" si="24"/>
        <v>0</v>
      </c>
      <c r="EW10" s="250">
        <f t="shared" si="25"/>
        <v>0</v>
      </c>
      <c r="EX10" s="250">
        <f>MIN(AV10,EW10)</f>
        <v>0</v>
      </c>
      <c r="EY10" s="250"/>
      <c r="EZ10" s="250"/>
      <c r="FA10" s="250"/>
      <c r="FB10" s="250"/>
      <c r="FC10" s="250"/>
      <c r="FD10" s="250">
        <f>IF(D10="新築",MIN(1500,CG10,MIN(DF10+DK10+DT10+EC10+EH10+EM10+EX10,1000)),0)</f>
        <v>0</v>
      </c>
      <c r="FE10" s="250">
        <f>AY10-FD10</f>
        <v>0</v>
      </c>
      <c r="FF10" s="250"/>
      <c r="FG10" s="259"/>
      <c r="FH10" s="259"/>
      <c r="FI10" s="250"/>
      <c r="FJ10" s="250"/>
      <c r="FK10" s="250">
        <f t="shared" si="26"/>
        <v>0</v>
      </c>
      <c r="FL10" s="250">
        <f>MIN(BC10,FK10)</f>
        <v>0</v>
      </c>
      <c r="FM10" s="250" t="str">
        <f t="shared" si="27"/>
        <v/>
      </c>
      <c r="FN10" s="250"/>
      <c r="FO10" s="250"/>
      <c r="FP10" s="250" t="e">
        <f>IF(AND(FK10&gt;0,FM10=1,#REF!=""),100,0)</f>
        <v>#REF!</v>
      </c>
      <c r="FQ10" s="250" t="e">
        <f>MIN(BG10,FP10)</f>
        <v>#REF!</v>
      </c>
      <c r="FR10" s="250" t="str">
        <f t="shared" si="28"/>
        <v/>
      </c>
      <c r="FS10" s="250"/>
      <c r="FT10" s="250"/>
      <c r="FU10" s="250"/>
      <c r="FV10" s="250">
        <f t="shared" si="29"/>
        <v>0</v>
      </c>
      <c r="FW10" s="250">
        <f>MIN(BL10,FV10)</f>
        <v>0</v>
      </c>
      <c r="FX10" s="250" t="str">
        <f t="shared" si="30"/>
        <v/>
      </c>
      <c r="FY10" s="250"/>
      <c r="FZ10" s="250"/>
      <c r="GA10" s="250"/>
      <c r="GB10" s="250">
        <f t="shared" si="31"/>
        <v>0</v>
      </c>
      <c r="GC10" s="250">
        <f>MIN(BQ10,GB10)</f>
        <v>0</v>
      </c>
      <c r="GD10" s="250"/>
      <c r="GE10" s="250"/>
      <c r="GF10" s="250">
        <f>IF(D10="改修",MIN(500,FL10+FQ10+FW10+GC10,INT(CL10*10/2)),0)</f>
        <v>0</v>
      </c>
      <c r="GG10" s="250">
        <f>BS10-GF10</f>
        <v>0</v>
      </c>
      <c r="GH10" s="248"/>
      <c r="GI10" s="249"/>
      <c r="GJ10" s="249"/>
      <c r="GK10" s="249"/>
      <c r="GL10" s="240">
        <f>IF(D10="新築",AY10,IF(D10="改修",BS10,0))</f>
        <v>0</v>
      </c>
      <c r="GM10" s="240">
        <f t="shared" si="12"/>
        <v>0</v>
      </c>
      <c r="GN10" s="240">
        <f t="shared" si="32"/>
        <v>0</v>
      </c>
    </row>
    <row r="11" spans="2:874" s="243" customFormat="1" ht="16.2" outlineLevel="1" x14ac:dyDescent="0.2">
      <c r="B11" s="223" t="str">
        <f t="shared" si="0"/>
        <v/>
      </c>
      <c r="C11" s="260"/>
      <c r="D11" s="230" t="s">
        <v>351</v>
      </c>
      <c r="E11" s="226" t="str">
        <f t="shared" si="13"/>
        <v/>
      </c>
      <c r="F11" s="227"/>
      <c r="G11" s="230" t="s">
        <v>403</v>
      </c>
      <c r="H11" s="228"/>
      <c r="I11" s="229" t="s">
        <v>393</v>
      </c>
      <c r="J11" s="230" t="s">
        <v>393</v>
      </c>
      <c r="K11" s="229" t="s">
        <v>393</v>
      </c>
      <c r="L11" s="230" t="s">
        <v>393</v>
      </c>
      <c r="M11" s="230" t="s">
        <v>393</v>
      </c>
      <c r="N11" s="229" t="s">
        <v>393</v>
      </c>
      <c r="O11" s="231" t="s">
        <v>393</v>
      </c>
      <c r="P11" s="231" t="s">
        <v>393</v>
      </c>
      <c r="Q11" s="232">
        <f>IF(P11="",0,IF(P11&gt;=10,150,0))</f>
        <v>0</v>
      </c>
      <c r="R11" s="231" t="str">
        <f>IF(S11="","",IF(S11&gt;=1,1,""))</f>
        <v/>
      </c>
      <c r="S11" s="231" t="s">
        <v>393</v>
      </c>
      <c r="T11" s="233">
        <f t="shared" si="35"/>
        <v>0</v>
      </c>
      <c r="U11" s="231" t="str">
        <f>IF(V11="","",IF(V11&gt;=1,1,""))</f>
        <v/>
      </c>
      <c r="V11" s="231" t="s">
        <v>393</v>
      </c>
      <c r="W11" s="233">
        <f t="shared" si="37"/>
        <v>0</v>
      </c>
      <c r="X11" s="231" t="str">
        <f>IF(Y11="","",IF(Y11&gt;=1,1,""))</f>
        <v/>
      </c>
      <c r="Y11" s="231">
        <v>0</v>
      </c>
      <c r="Z11" s="231">
        <f t="shared" si="39"/>
        <v>0</v>
      </c>
      <c r="AA11" s="232">
        <f t="shared" si="1"/>
        <v>0</v>
      </c>
      <c r="AB11" s="231" t="str">
        <f>IF(AC11="","",IF(AC11&gt;=1,1,""))</f>
        <v/>
      </c>
      <c r="AC11" s="231" t="s">
        <v>393</v>
      </c>
      <c r="AD11" s="231">
        <f t="shared" si="2"/>
        <v>0</v>
      </c>
      <c r="AE11" s="231" t="str">
        <f t="shared" si="41"/>
        <v/>
      </c>
      <c r="AF11" s="231" t="s">
        <v>393</v>
      </c>
      <c r="AG11" s="231" t="s">
        <v>393</v>
      </c>
      <c r="AH11" s="232" t="e">
        <f>IF(AND(Q11&gt;0,AE11=1,[1]【様式第６号】事業報告書兼チェックシート!#REF!=""),100,0)</f>
        <v>#REF!</v>
      </c>
      <c r="AI11" s="231" t="str">
        <f>IF(OR(AJ11=1,AK11=1),1,"")</f>
        <v/>
      </c>
      <c r="AJ11" s="231" t="s">
        <v>393</v>
      </c>
      <c r="AK11" s="231" t="s">
        <v>393</v>
      </c>
      <c r="AL11" s="232">
        <f t="shared" si="3"/>
        <v>0</v>
      </c>
      <c r="AM11" s="231" t="str">
        <f t="shared" si="43"/>
        <v/>
      </c>
      <c r="AN11" s="231" t="s">
        <v>393</v>
      </c>
      <c r="AO11" s="231" t="s">
        <v>393</v>
      </c>
      <c r="AP11" s="231" t="s">
        <v>393</v>
      </c>
      <c r="AQ11" s="231" t="s">
        <v>393</v>
      </c>
      <c r="AR11" s="231" t="s">
        <v>393</v>
      </c>
      <c r="AS11" s="231" t="s">
        <v>393</v>
      </c>
      <c r="AT11" s="231" t="s">
        <v>393</v>
      </c>
      <c r="AU11" s="231">
        <f t="shared" si="44"/>
        <v>0</v>
      </c>
      <c r="AV11" s="232">
        <f t="shared" si="45"/>
        <v>0</v>
      </c>
      <c r="AW11" s="234"/>
      <c r="AX11" s="234"/>
      <c r="AY11" s="232" t="e">
        <f t="shared" si="4"/>
        <v>#REF!</v>
      </c>
      <c r="AZ11" s="234"/>
      <c r="BA11" s="235"/>
      <c r="BB11" s="234"/>
      <c r="BC11" s="232">
        <f t="shared" si="46"/>
        <v>0</v>
      </c>
      <c r="BD11" s="231" t="str">
        <f>IF(OR(BE11=1,BF11=1),1,"")</f>
        <v/>
      </c>
      <c r="BE11" s="234"/>
      <c r="BF11" s="234"/>
      <c r="BG11" s="232" t="e">
        <f>IF(AND(BC11&gt;0,BD11=1,#REF!=""),100,0)</f>
        <v>#REF!</v>
      </c>
      <c r="BH11" s="231" t="str">
        <f t="shared" si="48"/>
        <v/>
      </c>
      <c r="BI11" s="234"/>
      <c r="BJ11" s="234"/>
      <c r="BK11" s="234"/>
      <c r="BL11" s="232">
        <f t="shared" si="49"/>
        <v>0</v>
      </c>
      <c r="BM11" s="231" t="str">
        <f t="shared" si="50"/>
        <v/>
      </c>
      <c r="BN11" s="234"/>
      <c r="BO11" s="234"/>
      <c r="BP11" s="234"/>
      <c r="BQ11" s="232">
        <f t="shared" si="51"/>
        <v>0</v>
      </c>
      <c r="BR11" s="234"/>
      <c r="BS11" s="232">
        <f t="shared" si="5"/>
        <v>0</v>
      </c>
      <c r="BT11" s="261" t="s">
        <v>393</v>
      </c>
      <c r="BU11" s="237" t="s">
        <v>9</v>
      </c>
      <c r="BV11" s="237" t="s">
        <v>393</v>
      </c>
      <c r="BW11" s="237" t="s">
        <v>359</v>
      </c>
      <c r="BX11" s="237" t="s">
        <v>393</v>
      </c>
      <c r="BY11" s="239" t="s">
        <v>8</v>
      </c>
      <c r="BZ11" s="261" t="s">
        <v>393</v>
      </c>
      <c r="CA11" s="237" t="s">
        <v>9</v>
      </c>
      <c r="CB11" s="237" t="s">
        <v>393</v>
      </c>
      <c r="CC11" s="237" t="s">
        <v>359</v>
      </c>
      <c r="CD11" s="237" t="s">
        <v>393</v>
      </c>
      <c r="CE11" s="239" t="s">
        <v>8</v>
      </c>
      <c r="CF11" s="227"/>
      <c r="CG11" s="240" t="e">
        <f t="shared" si="14"/>
        <v>#REF!</v>
      </c>
      <c r="CH11" s="229" t="s">
        <v>393</v>
      </c>
      <c r="CI11" s="229" t="s">
        <v>393</v>
      </c>
      <c r="CJ11" s="225"/>
      <c r="CK11" s="229" t="s">
        <v>393</v>
      </c>
      <c r="CL11" s="229" t="s">
        <v>393</v>
      </c>
      <c r="CM11" s="229" t="s">
        <v>393</v>
      </c>
      <c r="CN11" s="227"/>
      <c r="CO11" s="227"/>
      <c r="CP11" s="227"/>
      <c r="CQ11" s="228"/>
      <c r="CR11" s="228"/>
      <c r="CS11" s="227"/>
      <c r="CT11" s="227"/>
      <c r="CU11" s="227"/>
      <c r="CV11" s="227"/>
      <c r="CW11" s="227"/>
      <c r="CX11" s="227"/>
      <c r="CY11" s="227"/>
      <c r="CZ11" t="s">
        <v>394</v>
      </c>
      <c r="DA11" s="225"/>
      <c r="DB11" s="277"/>
      <c r="DC11" s="277"/>
      <c r="DD11" s="277"/>
      <c r="DE11" s="277"/>
      <c r="DF11" s="277"/>
      <c r="DG11" s="277"/>
      <c r="DH11" s="277"/>
      <c r="DI11" s="277"/>
      <c r="DJ11" s="278"/>
      <c r="DK11" s="277"/>
      <c r="DL11" s="277"/>
      <c r="DM11" s="277"/>
      <c r="DN11" s="277"/>
      <c r="DO11" s="277"/>
      <c r="DP11" s="277"/>
      <c r="DQ11" s="277"/>
      <c r="DR11" s="277"/>
      <c r="DS11" s="278"/>
      <c r="DT11" s="277"/>
      <c r="DU11" s="277"/>
      <c r="DV11" s="277"/>
      <c r="DW11" s="277"/>
      <c r="DX11" s="277"/>
      <c r="DY11" s="277"/>
      <c r="DZ11" s="277"/>
      <c r="EA11" s="277"/>
      <c r="EB11" s="277"/>
      <c r="EC11" s="277"/>
      <c r="ED11" s="277"/>
      <c r="EE11" s="277"/>
      <c r="EF11" s="277"/>
      <c r="EG11" s="277"/>
      <c r="EH11" s="277"/>
      <c r="EI11" s="277"/>
      <c r="EJ11" s="277"/>
      <c r="EK11" s="277"/>
      <c r="EL11" s="277"/>
      <c r="EM11" s="277"/>
      <c r="EN11" s="277"/>
      <c r="EO11" s="277"/>
      <c r="EP11" s="277"/>
      <c r="EQ11" s="277"/>
      <c r="ER11" s="277"/>
      <c r="ES11" s="277"/>
      <c r="ET11" s="277"/>
      <c r="EU11" s="277"/>
      <c r="EV11" s="277"/>
      <c r="EW11" s="277"/>
      <c r="EX11" s="277"/>
      <c r="EY11" s="277"/>
      <c r="EZ11" s="279"/>
      <c r="FA11" s="279"/>
      <c r="FB11" s="277"/>
      <c r="FC11" s="277"/>
      <c r="FD11" s="277"/>
      <c r="FE11" s="280"/>
      <c r="FF11" s="281">
        <f>【様式第６号の２】事業報告書兼チェックシート!Q87</f>
        <v>0</v>
      </c>
      <c r="FG11" s="281">
        <f>【様式第６号の２】事業報告書兼チェックシート!Q88</f>
        <v>0</v>
      </c>
      <c r="FH11" s="281"/>
      <c r="FI11" s="281">
        <f>【様式第６号の２】事業報告書兼チェックシート!Q89</f>
        <v>0</v>
      </c>
      <c r="FJ11" s="281"/>
      <c r="FK11" s="282" t="e">
        <f>【様式第６号の２】事業報告書兼チェックシート!Y90*10</f>
        <v>#VALUE!</v>
      </c>
      <c r="FL11" s="282" t="e">
        <f>MIN(FK11,'要入力　交付決定状況入力シート(1)'!D3/1000)</f>
        <v>#VALUE!</v>
      </c>
      <c r="FM11" s="281">
        <f>IF(FN11=1,1,IF(FO11=1,1,0))</f>
        <v>0</v>
      </c>
      <c r="FN11" s="281">
        <f>IF(【様式第６号の２】事業報告書兼チェックシート!B104="✔",1,0)</f>
        <v>0</v>
      </c>
      <c r="FO11" s="281">
        <f>IF(【様式第６号の２】事業報告書兼チェックシート!P104="✔",1,0)</f>
        <v>0</v>
      </c>
      <c r="FP11" s="282">
        <f>IF(【様式第６号の２】事業報告書兼チェックシート!Y102="",0,【様式第６号の２】事業報告書兼チェックシート!Y102*10)</f>
        <v>0</v>
      </c>
      <c r="FQ11" s="282">
        <f>MIN(FP11,'要入力　交付決定状況入力シート(1)'!D5/1000)</f>
        <v>0</v>
      </c>
      <c r="FR11" s="281">
        <f>IF(【様式第６号の２】事業報告書兼チェックシート!Y120="",0,【様式第６号の２】事業報告書兼チェックシート!Y120*1)</f>
        <v>0</v>
      </c>
      <c r="FS11" s="281">
        <f>IF(AND(【様式第６号の２】事業報告書兼チェックシート!B125="✔",【様式第６号の２】事業報告書兼チェックシート!B127="✔",【様式第６号の２】事業報告書兼チェックシート!B130="✔",【様式第６号の２】事業報告書兼チェックシート!B133="✔"),1,0)</f>
        <v>0</v>
      </c>
      <c r="FT11" s="281"/>
      <c r="FU11" s="281"/>
      <c r="FV11" s="282">
        <f>IF(【様式第６号の２】事業報告書兼チェックシート!Y120="",0,【様式第６号の２】事業報告書兼チェックシート!Y120*10)</f>
        <v>0</v>
      </c>
      <c r="FW11" s="282">
        <f>MIN(FV11,'要入力　交付決定状況入力シート(1)'!D6/1000)</f>
        <v>0</v>
      </c>
      <c r="FX11" s="281"/>
      <c r="FY11" s="281">
        <f>【様式第６号の２】事業報告書兼チェックシート!N163</f>
        <v>0</v>
      </c>
      <c r="FZ11" s="281">
        <f>【様式第６号の２】事業報告書兼チェックシート!N170</f>
        <v>0</v>
      </c>
      <c r="GA11" s="281">
        <f>【様式第６号の２】事業報告書兼チェックシート!N181</f>
        <v>0</v>
      </c>
      <c r="GB11" s="282">
        <f>(IF(【様式第６号の２】事業報告書兼チェックシート!Y164="",0,【様式第６号の２】事業報告書兼チェックシート!Y164)+IF(【様式第６号の２】事業報告書兼チェックシート!Y174="",0,【様式第６号の２】事業報告書兼チェックシート!Y174)+IF(【様式第６号の２】事業報告書兼チェックシート!Y181="",0,【様式第６号の２】事業報告書兼チェックシート!Y181))*10</f>
        <v>0</v>
      </c>
      <c r="GC11" s="282">
        <f>MIN(GB11,'要入力　交付決定状況入力シート(1)'!D4/1000)</f>
        <v>0</v>
      </c>
      <c r="GD11" s="281"/>
      <c r="GE11" s="281"/>
      <c r="GF11" s="282" t="e">
        <f>MIN(FL11+FQ11+FW11+GC11,500)</f>
        <v>#VALUE!</v>
      </c>
      <c r="GG11" s="282" t="e">
        <f>'要入力　交付決定状況入力シート(1)'!D9/1000-GF11</f>
        <v>#VALUE!</v>
      </c>
      <c r="GH11" s="227"/>
      <c r="GI11" s="228"/>
      <c r="GJ11" s="228"/>
      <c r="GK11" s="228"/>
      <c r="GL11" s="240">
        <f>IFERROR(IF(D11="新築",'[1]要入力　交付決定状況入力シート'!D12/1000,IF(D11="改修",BS11,0)),0)</f>
        <v>0</v>
      </c>
      <c r="GM11" s="240">
        <f t="shared" si="12"/>
        <v>0</v>
      </c>
      <c r="GN11" s="240">
        <f t="shared" si="32"/>
        <v>0</v>
      </c>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c r="IR11" s="92"/>
      <c r="IS11" s="92"/>
      <c r="IT11" s="92"/>
      <c r="IU11" s="92"/>
      <c r="IV11" s="92"/>
      <c r="IW11" s="92"/>
      <c r="IX11" s="92"/>
      <c r="IY11" s="92"/>
      <c r="IZ11" s="92"/>
      <c r="JA11" s="92"/>
      <c r="JB11" s="92"/>
      <c r="JC11" s="92"/>
      <c r="JD11" s="92"/>
      <c r="JE11" s="92"/>
      <c r="JF11" s="92"/>
      <c r="JG11" s="92"/>
      <c r="JH11" s="92"/>
      <c r="JI11" s="92"/>
      <c r="JJ11" s="92"/>
      <c r="JK11" s="92"/>
      <c r="JL11" s="92"/>
      <c r="JM11" s="92"/>
      <c r="JN11" s="92"/>
      <c r="JO11" s="92"/>
      <c r="JP11" s="92"/>
      <c r="JQ11" s="92"/>
      <c r="JR11" s="92"/>
      <c r="JS11" s="92"/>
      <c r="JT11" s="92"/>
      <c r="JU11" s="92"/>
      <c r="JV11" s="92"/>
      <c r="JW11" s="92"/>
      <c r="JX11" s="92"/>
      <c r="JY11" s="92"/>
      <c r="JZ11" s="92"/>
      <c r="KA11" s="92"/>
      <c r="KB11" s="92"/>
      <c r="KC11" s="92"/>
      <c r="KD11" s="92"/>
      <c r="KE11" s="92"/>
      <c r="KF11" s="92"/>
      <c r="KG11" s="92"/>
      <c r="KH11" s="92"/>
      <c r="KI11" s="92"/>
      <c r="KJ11" s="92"/>
      <c r="KK11" s="92"/>
      <c r="KL11" s="92"/>
      <c r="KM11" s="92"/>
      <c r="KN11" s="92"/>
      <c r="KO11" s="92"/>
      <c r="KP11" s="92"/>
      <c r="KQ11" s="92"/>
      <c r="KR11" s="92"/>
      <c r="KS11" s="92"/>
      <c r="KT11" s="92"/>
      <c r="KU11" s="92"/>
      <c r="KV11" s="92"/>
      <c r="KW11" s="92"/>
      <c r="KX11" s="92"/>
      <c r="KY11" s="92"/>
      <c r="KZ11" s="92"/>
      <c r="LA11" s="92"/>
      <c r="LB11" s="92"/>
      <c r="LC11" s="92"/>
      <c r="LD11" s="92"/>
      <c r="LE11" s="92"/>
      <c r="LF11" s="92"/>
      <c r="LG11" s="92"/>
      <c r="LH11" s="92"/>
      <c r="LI11" s="92"/>
      <c r="LJ11" s="92"/>
      <c r="LK11" s="92"/>
      <c r="LL11" s="92"/>
      <c r="LM11" s="92"/>
      <c r="LN11" s="92"/>
      <c r="LO11" s="92"/>
      <c r="LP11" s="92"/>
      <c r="LQ11" s="92"/>
      <c r="LR11" s="92"/>
      <c r="LS11" s="92"/>
      <c r="LT11" s="92"/>
      <c r="LU11" s="92"/>
      <c r="LV11" s="92"/>
      <c r="LW11" s="92"/>
      <c r="LX11" s="92"/>
      <c r="LY11" s="92"/>
      <c r="LZ11" s="92"/>
      <c r="MA11" s="92"/>
      <c r="MB11" s="92"/>
      <c r="MC11" s="92"/>
      <c r="MD11" s="92"/>
      <c r="ME11" s="92"/>
      <c r="MF11" s="92"/>
      <c r="MG11" s="92"/>
      <c r="MH11" s="92"/>
      <c r="MI11" s="92"/>
      <c r="MJ11" s="92"/>
      <c r="MK11" s="92"/>
      <c r="ML11" s="92"/>
      <c r="MM11" s="92"/>
      <c r="MN11" s="92"/>
      <c r="MO11" s="92"/>
      <c r="MP11" s="92"/>
      <c r="MQ11" s="92"/>
      <c r="MR11" s="92"/>
      <c r="MS11" s="92"/>
      <c r="MT11" s="92"/>
      <c r="MU11" s="92"/>
      <c r="MV11" s="92"/>
      <c r="MW11" s="92"/>
      <c r="MX11" s="92"/>
      <c r="MY11" s="92"/>
      <c r="MZ11" s="92"/>
      <c r="NA11" s="92"/>
      <c r="NB11" s="92"/>
      <c r="NC11" s="92"/>
      <c r="ND11" s="92"/>
      <c r="NE11" s="92"/>
      <c r="NF11" s="92"/>
      <c r="NG11" s="92"/>
      <c r="NH11" s="92"/>
      <c r="NI11" s="92"/>
      <c r="NJ11" s="92"/>
      <c r="NK11" s="92"/>
      <c r="NL11" s="92"/>
      <c r="NM11" s="92"/>
      <c r="NN11" s="92"/>
      <c r="NO11" s="92"/>
      <c r="NP11" s="92"/>
      <c r="NQ11" s="92"/>
      <c r="NR11" s="92"/>
      <c r="NS11" s="92"/>
      <c r="NT11" s="92"/>
      <c r="NU11" s="92"/>
      <c r="NV11" s="92"/>
      <c r="NW11" s="92"/>
      <c r="NX11" s="92"/>
      <c r="NY11" s="92"/>
      <c r="NZ11" s="92"/>
      <c r="OA11" s="92"/>
      <c r="OB11" s="92"/>
      <c r="OC11" s="92"/>
      <c r="OD11" s="92"/>
      <c r="OE11" s="92"/>
      <c r="OF11" s="92"/>
      <c r="OG11" s="92"/>
      <c r="OH11" s="92"/>
      <c r="OI11" s="92"/>
      <c r="OJ11" s="92"/>
      <c r="OK11" s="92"/>
      <c r="OL11" s="92"/>
      <c r="OM11" s="92"/>
      <c r="ON11" s="92"/>
      <c r="OO11" s="92"/>
      <c r="OP11" s="92"/>
      <c r="OQ11" s="92"/>
      <c r="OR11" s="92"/>
      <c r="OS11" s="92"/>
      <c r="OT11" s="92"/>
      <c r="OU11" s="92"/>
      <c r="OV11" s="92"/>
      <c r="OW11" s="92"/>
      <c r="OX11" s="92"/>
      <c r="OY11" s="92"/>
      <c r="OZ11" s="92"/>
      <c r="PA11" s="92"/>
      <c r="PB11" s="92"/>
      <c r="PC11" s="92"/>
      <c r="PD11" s="92"/>
      <c r="PE11" s="92"/>
      <c r="PF11" s="92"/>
      <c r="PG11" s="92"/>
      <c r="PH11" s="92"/>
      <c r="PI11" s="92"/>
      <c r="PJ11" s="92"/>
      <c r="PK11" s="92"/>
      <c r="PL11" s="92"/>
      <c r="PM11" s="92"/>
      <c r="PN11" s="92"/>
      <c r="PO11" s="92"/>
      <c r="PP11" s="92"/>
      <c r="PQ11" s="92"/>
      <c r="PR11" s="92"/>
      <c r="PS11" s="92"/>
      <c r="PT11" s="92"/>
      <c r="PU11" s="92"/>
      <c r="PV11" s="92"/>
      <c r="PW11" s="92"/>
      <c r="PX11" s="92"/>
      <c r="PY11" s="92"/>
      <c r="PZ11" s="92"/>
      <c r="QA11" s="92"/>
      <c r="QB11" s="92"/>
      <c r="QC11" s="92"/>
      <c r="QD11" s="92"/>
      <c r="QE11" s="92"/>
      <c r="QF11" s="92"/>
      <c r="QG11" s="92"/>
      <c r="QH11" s="92"/>
      <c r="QI11" s="92"/>
      <c r="QJ11" s="92"/>
      <c r="QK11" s="92"/>
      <c r="QL11" s="92"/>
      <c r="QM11" s="92"/>
      <c r="QN11" s="92"/>
      <c r="QO11" s="92"/>
      <c r="QP11" s="92"/>
      <c r="QQ11" s="92"/>
      <c r="QR11" s="92"/>
      <c r="QS11" s="92"/>
      <c r="QT11" s="92"/>
      <c r="QU11" s="92"/>
      <c r="QV11" s="92"/>
      <c r="QW11" s="92"/>
      <c r="QX11" s="92"/>
      <c r="QY11" s="92"/>
      <c r="QZ11" s="92"/>
      <c r="RA11" s="92"/>
      <c r="RB11" s="92"/>
      <c r="RC11" s="92"/>
      <c r="RD11" s="92"/>
      <c r="RE11" s="92"/>
      <c r="RF11" s="92"/>
      <c r="RG11" s="92"/>
      <c r="RH11" s="92"/>
      <c r="RI11" s="92"/>
      <c r="RJ11" s="92"/>
      <c r="RK11" s="92"/>
      <c r="RL11" s="92"/>
      <c r="RM11" s="92"/>
      <c r="RN11" s="92"/>
      <c r="RO11" s="92"/>
      <c r="RP11" s="92"/>
      <c r="RQ11" s="92"/>
      <c r="RR11" s="92"/>
      <c r="RS11" s="92"/>
      <c r="RT11" s="92"/>
      <c r="RU11" s="92"/>
      <c r="RV11" s="92"/>
      <c r="RW11" s="92"/>
      <c r="RX11" s="92"/>
      <c r="RY11" s="92"/>
      <c r="RZ11" s="92"/>
      <c r="SA11" s="92"/>
      <c r="SB11" s="92"/>
      <c r="SC11" s="92"/>
      <c r="SD11" s="92"/>
      <c r="SE11" s="92"/>
      <c r="SF11" s="92"/>
      <c r="SG11" s="92"/>
      <c r="SH11" s="92"/>
      <c r="SI11" s="92"/>
      <c r="SJ11" s="92"/>
      <c r="SK11" s="92"/>
      <c r="SL11" s="92"/>
      <c r="SM11" s="92"/>
      <c r="SN11" s="92"/>
      <c r="SO11" s="92"/>
      <c r="SP11" s="92"/>
      <c r="SQ11" s="92"/>
      <c r="SR11" s="92"/>
      <c r="SS11" s="92"/>
      <c r="ST11" s="92"/>
      <c r="SU11" s="92"/>
      <c r="SV11" s="92"/>
      <c r="SW11" s="92"/>
      <c r="SX11" s="92"/>
      <c r="SY11" s="92"/>
      <c r="SZ11" s="92"/>
      <c r="TA11" s="92"/>
      <c r="TB11" s="92"/>
      <c r="TC11" s="92"/>
      <c r="TD11" s="92"/>
      <c r="TE11" s="92"/>
      <c r="TF11" s="92"/>
      <c r="TG11" s="92"/>
      <c r="TH11" s="92"/>
      <c r="TI11" s="92"/>
      <c r="TJ11" s="92"/>
      <c r="TK11" s="92"/>
      <c r="TL11" s="92"/>
      <c r="TM11" s="92"/>
      <c r="TN11" s="92"/>
      <c r="TO11" s="92"/>
      <c r="TP11" s="92"/>
      <c r="TQ11" s="92"/>
      <c r="TR11" s="92"/>
      <c r="TS11" s="92"/>
      <c r="TT11" s="92"/>
      <c r="TU11" s="92"/>
      <c r="TV11" s="92"/>
      <c r="TW11" s="92"/>
      <c r="TX11" s="92"/>
      <c r="TY11" s="92"/>
      <c r="TZ11" s="92"/>
      <c r="UA11" s="92"/>
      <c r="UB11" s="92"/>
      <c r="UC11" s="92"/>
      <c r="UD11" s="92"/>
      <c r="UE11" s="92"/>
      <c r="UF11" s="92"/>
      <c r="UG11" s="92"/>
      <c r="UH11" s="92"/>
      <c r="UI11" s="92"/>
      <c r="UJ11" s="92"/>
      <c r="UK11" s="92"/>
      <c r="UL11" s="92"/>
      <c r="UM11" s="92"/>
      <c r="UN11" s="92"/>
      <c r="UO11" s="92"/>
      <c r="UP11" s="92"/>
      <c r="UQ11" s="92"/>
      <c r="UR11" s="92"/>
      <c r="US11" s="92"/>
      <c r="UT11" s="92"/>
      <c r="UU11" s="92"/>
      <c r="UV11" s="92"/>
      <c r="UW11" s="92"/>
      <c r="UX11" s="92"/>
      <c r="UY11" s="92"/>
      <c r="UZ11" s="92"/>
      <c r="VA11" s="92"/>
      <c r="VB11" s="92"/>
      <c r="VC11" s="92"/>
      <c r="VD11" s="92"/>
      <c r="VE11" s="92"/>
      <c r="VF11" s="92"/>
      <c r="VG11" s="92"/>
      <c r="VH11" s="92"/>
      <c r="VI11" s="92"/>
      <c r="VJ11" s="92"/>
      <c r="VK11" s="92"/>
      <c r="VL11" s="92"/>
      <c r="VM11" s="92"/>
      <c r="VN11" s="92"/>
      <c r="VO11" s="92"/>
      <c r="VP11" s="92"/>
      <c r="VQ11" s="92"/>
      <c r="VR11" s="92"/>
      <c r="VS11" s="92"/>
      <c r="VT11" s="92"/>
      <c r="VU11" s="92"/>
      <c r="VV11" s="92"/>
      <c r="VW11" s="92"/>
      <c r="VX11" s="92"/>
      <c r="VY11" s="92"/>
      <c r="VZ11" s="92"/>
      <c r="WA11" s="92"/>
      <c r="WB11" s="92"/>
      <c r="WC11" s="92"/>
      <c r="WD11" s="92"/>
      <c r="WE11" s="92"/>
      <c r="WF11" s="92"/>
      <c r="WG11" s="92"/>
      <c r="WH11" s="92"/>
      <c r="WI11" s="92"/>
      <c r="WJ11" s="92"/>
      <c r="WK11" s="92"/>
      <c r="WL11" s="92"/>
      <c r="WM11" s="92"/>
      <c r="WN11" s="92"/>
      <c r="WO11" s="92"/>
      <c r="WP11" s="92"/>
      <c r="WQ11" s="92"/>
      <c r="WR11" s="92"/>
      <c r="WS11" s="92"/>
      <c r="WT11" s="92"/>
      <c r="WU11" s="92"/>
      <c r="WV11" s="92"/>
      <c r="WW11" s="92"/>
      <c r="WX11" s="92"/>
      <c r="WY11" s="92"/>
      <c r="WZ11" s="92"/>
      <c r="XA11" s="92"/>
      <c r="XB11" s="92"/>
      <c r="XC11" s="92"/>
      <c r="XD11" s="92"/>
      <c r="XE11" s="92"/>
      <c r="XF11" s="92"/>
      <c r="XG11" s="92"/>
      <c r="XH11" s="92"/>
      <c r="XI11" s="92"/>
      <c r="XJ11" s="92"/>
      <c r="XK11" s="92"/>
      <c r="XL11" s="92"/>
      <c r="XM11" s="92"/>
      <c r="XN11" s="92"/>
      <c r="XO11" s="92"/>
      <c r="XP11" s="92"/>
      <c r="XQ11" s="92"/>
      <c r="XR11" s="92"/>
      <c r="XS11" s="92"/>
      <c r="XT11" s="92"/>
      <c r="XU11" s="92"/>
      <c r="XV11" s="92"/>
      <c r="XW11" s="92"/>
      <c r="XX11" s="92"/>
      <c r="XY11" s="92"/>
      <c r="XZ11" s="92"/>
      <c r="YA11" s="92"/>
      <c r="YB11" s="92"/>
      <c r="YC11" s="92"/>
      <c r="YD11" s="92"/>
      <c r="YE11" s="92"/>
      <c r="YF11" s="92"/>
      <c r="YG11" s="92"/>
      <c r="YH11" s="92"/>
      <c r="YI11" s="92"/>
      <c r="YJ11" s="92"/>
      <c r="YK11" s="92"/>
      <c r="YL11" s="92"/>
      <c r="YM11" s="92"/>
      <c r="YN11" s="92"/>
      <c r="YO11" s="92"/>
      <c r="YP11" s="92"/>
      <c r="YQ11" s="92"/>
      <c r="YR11" s="92"/>
      <c r="YS11" s="92"/>
      <c r="YT11" s="92"/>
      <c r="YU11" s="92"/>
      <c r="YV11" s="92"/>
      <c r="YW11" s="92"/>
      <c r="YX11" s="92"/>
      <c r="YY11" s="92"/>
      <c r="YZ11" s="92"/>
      <c r="ZA11" s="92"/>
      <c r="ZB11" s="92"/>
      <c r="ZC11" s="92"/>
      <c r="ZD11" s="92"/>
      <c r="ZE11" s="92"/>
      <c r="ZF11" s="92"/>
      <c r="ZG11" s="92"/>
      <c r="ZH11" s="92"/>
      <c r="ZI11" s="92"/>
      <c r="ZJ11" s="92"/>
      <c r="ZK11" s="92"/>
      <c r="ZL11" s="92"/>
      <c r="ZM11" s="92"/>
      <c r="ZN11" s="92"/>
      <c r="ZO11" s="92"/>
      <c r="ZP11" s="92"/>
      <c r="ZQ11" s="92"/>
      <c r="ZR11" s="92"/>
      <c r="ZS11" s="92"/>
      <c r="ZT11" s="92"/>
      <c r="ZU11" s="92"/>
      <c r="ZV11" s="92"/>
      <c r="ZW11" s="92"/>
      <c r="ZX11" s="92"/>
      <c r="ZY11" s="92"/>
      <c r="ZZ11" s="92"/>
      <c r="AAA11" s="92"/>
      <c r="AAB11" s="92"/>
      <c r="AAC11" s="92"/>
      <c r="AAD11" s="92"/>
      <c r="AAE11" s="92"/>
      <c r="AAF11" s="92"/>
      <c r="AAG11" s="92"/>
      <c r="AAH11" s="92"/>
      <c r="AAI11" s="92"/>
      <c r="AAJ11" s="92"/>
      <c r="AAK11" s="92"/>
      <c r="AAL11" s="92"/>
      <c r="AAM11" s="92"/>
      <c r="AAN11" s="92"/>
      <c r="AAO11" s="92"/>
      <c r="AAP11" s="92"/>
      <c r="AAQ11" s="92"/>
      <c r="AAR11" s="92"/>
      <c r="AAS11" s="92"/>
      <c r="AAT11" s="92"/>
      <c r="AAU11" s="92"/>
      <c r="AAV11" s="92"/>
      <c r="AAW11" s="92"/>
      <c r="AAX11" s="92"/>
      <c r="AAY11" s="92"/>
      <c r="AAZ11" s="92"/>
      <c r="ABA11" s="92"/>
      <c r="ABB11" s="92"/>
      <c r="ABC11" s="92"/>
      <c r="ABD11" s="92"/>
      <c r="ABE11" s="92"/>
      <c r="ABF11" s="92"/>
      <c r="ABG11" s="92"/>
      <c r="ABH11" s="92"/>
      <c r="ABI11" s="92"/>
      <c r="ABJ11" s="92"/>
      <c r="ABK11" s="92"/>
      <c r="ABL11" s="92"/>
      <c r="ABM11" s="92"/>
      <c r="ABN11" s="92"/>
      <c r="ABO11" s="92"/>
      <c r="ABP11" s="92"/>
      <c r="ABQ11" s="92"/>
      <c r="ABR11" s="92"/>
      <c r="ABS11" s="92"/>
      <c r="ABT11" s="92"/>
      <c r="ABU11" s="92"/>
      <c r="ABV11" s="92"/>
      <c r="ABW11" s="92"/>
      <c r="ABX11" s="92"/>
      <c r="ABY11" s="92"/>
      <c r="ABZ11" s="92"/>
      <c r="ACA11" s="92"/>
      <c r="ACB11" s="92"/>
      <c r="ACC11" s="92"/>
      <c r="ACD11" s="92"/>
      <c r="ACE11" s="92"/>
      <c r="ACF11" s="92"/>
      <c r="ACG11" s="92"/>
      <c r="ACH11" s="92"/>
      <c r="ACI11" s="92"/>
      <c r="ACJ11" s="92"/>
      <c r="ACK11" s="92"/>
      <c r="ACL11" s="92"/>
      <c r="ACM11" s="92"/>
      <c r="ACN11" s="92"/>
      <c r="ACO11" s="92"/>
      <c r="ACP11" s="92"/>
      <c r="ACQ11" s="92"/>
      <c r="ACR11" s="92"/>
      <c r="ACS11" s="92"/>
      <c r="ACT11" s="92"/>
      <c r="ACU11" s="92"/>
      <c r="ACV11" s="92"/>
      <c r="ACW11" s="92"/>
      <c r="ACX11" s="92"/>
      <c r="ACY11" s="92"/>
      <c r="ACZ11" s="92"/>
      <c r="ADA11" s="92"/>
      <c r="ADB11" s="92"/>
      <c r="ADC11" s="92"/>
      <c r="ADD11" s="92"/>
      <c r="ADE11" s="92"/>
      <c r="ADF11" s="92"/>
      <c r="ADG11" s="92"/>
      <c r="ADH11" s="92"/>
      <c r="ADI11" s="92"/>
      <c r="ADJ11" s="92"/>
      <c r="ADK11" s="92"/>
      <c r="ADL11" s="92"/>
      <c r="ADM11" s="92"/>
      <c r="ADN11" s="92"/>
      <c r="ADO11" s="92"/>
      <c r="ADP11" s="92"/>
      <c r="ADQ11" s="92"/>
      <c r="ADR11" s="92"/>
      <c r="ADS11" s="92"/>
      <c r="ADT11" s="92"/>
      <c r="ADU11" s="92"/>
      <c r="ADV11" s="92"/>
      <c r="ADW11" s="92"/>
      <c r="ADX11" s="92"/>
      <c r="ADY11" s="92"/>
      <c r="ADZ11" s="92"/>
      <c r="AEA11" s="92"/>
      <c r="AEB11" s="92"/>
      <c r="AEC11" s="92"/>
      <c r="AED11" s="92"/>
      <c r="AEE11" s="92"/>
      <c r="AEF11" s="92"/>
      <c r="AEG11" s="92"/>
      <c r="AEH11" s="92"/>
      <c r="AEI11" s="92"/>
      <c r="AEJ11" s="92"/>
      <c r="AEK11" s="92"/>
      <c r="AEL11" s="92"/>
      <c r="AEM11" s="92"/>
      <c r="AEN11" s="92"/>
      <c r="AEO11" s="92"/>
      <c r="AEP11" s="92"/>
      <c r="AEQ11" s="92"/>
      <c r="AER11" s="92"/>
      <c r="AES11" s="92"/>
      <c r="AET11" s="92"/>
      <c r="AEU11" s="92"/>
      <c r="AEV11" s="92"/>
      <c r="AEW11" s="92"/>
      <c r="AEX11" s="92"/>
      <c r="AEY11" s="92"/>
      <c r="AEZ11" s="92"/>
      <c r="AFA11" s="92"/>
      <c r="AFB11" s="92"/>
      <c r="AFC11" s="92"/>
      <c r="AFD11" s="92"/>
      <c r="AFE11" s="92"/>
      <c r="AFF11" s="92"/>
      <c r="AFG11" s="92"/>
      <c r="AFH11" s="92"/>
      <c r="AFI11" s="92"/>
      <c r="AFJ11" s="92"/>
      <c r="AFK11" s="92"/>
      <c r="AFL11" s="92"/>
      <c r="AFM11" s="92"/>
      <c r="AFN11" s="92"/>
      <c r="AFO11" s="92"/>
      <c r="AFP11" s="92"/>
      <c r="AFQ11" s="92"/>
      <c r="AFR11" s="92"/>
      <c r="AFS11" s="92"/>
      <c r="AFT11" s="92"/>
      <c r="AFU11" s="92"/>
      <c r="AFV11" s="92"/>
      <c r="AFW11" s="92"/>
      <c r="AFX11" s="92"/>
      <c r="AFY11" s="92"/>
      <c r="AFZ11" s="92"/>
      <c r="AGA11" s="92"/>
      <c r="AGB11" s="92"/>
      <c r="AGC11" s="92"/>
      <c r="AGD11" s="92"/>
      <c r="AGE11" s="92"/>
      <c r="AGF11" s="92"/>
      <c r="AGG11" s="92"/>
      <c r="AGH11" s="92"/>
      <c r="AGI11" s="92"/>
      <c r="AGJ11" s="92"/>
      <c r="AGK11" s="92"/>
      <c r="AGL11" s="92"/>
      <c r="AGM11" s="92"/>
      <c r="AGN11" s="92"/>
      <c r="AGO11" s="92"/>
      <c r="AGP11" s="92"/>
    </row>
    <row r="12" spans="2:874" ht="30" customHeight="1" outlineLevel="1" x14ac:dyDescent="0.2">
      <c r="K12" s="92" t="s">
        <v>395</v>
      </c>
      <c r="DB12" s="263" t="s">
        <v>420</v>
      </c>
    </row>
    <row r="13" spans="2:874" s="243" customFormat="1" ht="30" customHeight="1" x14ac:dyDescent="0.2">
      <c r="B13" s="264">
        <f>SUBTOTAL(3,B11:B11)</f>
        <v>1</v>
      </c>
      <c r="C13" s="265" t="s">
        <v>396</v>
      </c>
      <c r="D13" s="266">
        <f>SUBTOTAL(3,D11:D11)</f>
        <v>1</v>
      </c>
      <c r="E13" s="266">
        <f>SUBTOTAL(3,E11:E11)</f>
        <v>1</v>
      </c>
      <c r="G13" s="266">
        <f>SUBTOTAL(3,G11:G11)</f>
        <v>1</v>
      </c>
      <c r="H13" s="267"/>
      <c r="J13" s="268"/>
      <c r="K13" s="264">
        <f>SUBTOTAL(3,K11:K11)</f>
        <v>1</v>
      </c>
      <c r="L13" s="268"/>
      <c r="M13" s="268"/>
      <c r="O13" s="264">
        <f t="shared" ref="O13:AM13" si="52">SUBTOTAL(9,O11:O11)</f>
        <v>0</v>
      </c>
      <c r="P13" s="264">
        <f t="shared" si="52"/>
        <v>0</v>
      </c>
      <c r="Q13" s="264">
        <f t="shared" si="52"/>
        <v>0</v>
      </c>
      <c r="R13" s="264">
        <f t="shared" si="52"/>
        <v>0</v>
      </c>
      <c r="S13" s="264">
        <f t="shared" si="52"/>
        <v>0</v>
      </c>
      <c r="T13" s="264">
        <f t="shared" si="52"/>
        <v>0</v>
      </c>
      <c r="U13" s="264">
        <f t="shared" si="52"/>
        <v>0</v>
      </c>
      <c r="V13" s="264">
        <f t="shared" si="52"/>
        <v>0</v>
      </c>
      <c r="W13" s="264">
        <f t="shared" si="52"/>
        <v>0</v>
      </c>
      <c r="X13" s="264">
        <f t="shared" si="52"/>
        <v>0</v>
      </c>
      <c r="Y13" s="264">
        <f t="shared" si="52"/>
        <v>0</v>
      </c>
      <c r="Z13" s="264">
        <f t="shared" si="52"/>
        <v>0</v>
      </c>
      <c r="AA13" s="264">
        <f t="shared" si="52"/>
        <v>0</v>
      </c>
      <c r="AB13" s="264">
        <f t="shared" si="52"/>
        <v>0</v>
      </c>
      <c r="AC13" s="264">
        <f t="shared" si="52"/>
        <v>0</v>
      </c>
      <c r="AD13" s="264">
        <f t="shared" si="52"/>
        <v>0</v>
      </c>
      <c r="AE13" s="264">
        <f t="shared" si="52"/>
        <v>0</v>
      </c>
      <c r="AF13" s="264">
        <f t="shared" si="52"/>
        <v>0</v>
      </c>
      <c r="AG13" s="264">
        <f t="shared" si="52"/>
        <v>0</v>
      </c>
      <c r="AH13" s="264" t="e">
        <f t="shared" si="52"/>
        <v>#REF!</v>
      </c>
      <c r="AI13" s="264">
        <f t="shared" si="52"/>
        <v>0</v>
      </c>
      <c r="AJ13" s="264">
        <f t="shared" si="52"/>
        <v>0</v>
      </c>
      <c r="AK13" s="264">
        <f t="shared" si="52"/>
        <v>0</v>
      </c>
      <c r="AL13" s="264">
        <f t="shared" si="52"/>
        <v>0</v>
      </c>
      <c r="AM13" s="264">
        <f t="shared" si="52"/>
        <v>0</v>
      </c>
      <c r="AN13" s="264">
        <f t="shared" ref="AN13:AT13" si="53">SUBTOTAL(3,AN11:AN11)</f>
        <v>1</v>
      </c>
      <c r="AO13" s="264">
        <f t="shared" si="53"/>
        <v>1</v>
      </c>
      <c r="AP13" s="264">
        <f t="shared" si="53"/>
        <v>1</v>
      </c>
      <c r="AQ13" s="264">
        <f t="shared" si="53"/>
        <v>1</v>
      </c>
      <c r="AR13" s="264">
        <f t="shared" si="53"/>
        <v>1</v>
      </c>
      <c r="AS13" s="264">
        <f t="shared" si="53"/>
        <v>1</v>
      </c>
      <c r="AT13" s="264">
        <f t="shared" si="53"/>
        <v>1</v>
      </c>
      <c r="AU13" s="264">
        <f>SUBTOTAL(9,AU11:AU11)</f>
        <v>0</v>
      </c>
      <c r="AV13" s="264">
        <f>SUBTOTAL(9,AV11:AV11)</f>
        <v>0</v>
      </c>
      <c r="AW13" s="264">
        <f>SUBTOTAL(3,AW11:AW11)</f>
        <v>0</v>
      </c>
      <c r="AX13" s="264">
        <f>SUBTOTAL(3,AX11:AX11)</f>
        <v>0</v>
      </c>
      <c r="AY13" s="264" t="e">
        <f t="shared" ref="AY13:BM13" si="54">SUBTOTAL(9,AY11:AY11)</f>
        <v>#REF!</v>
      </c>
      <c r="AZ13" s="264">
        <f t="shared" si="54"/>
        <v>0</v>
      </c>
      <c r="BA13" s="264">
        <f t="shared" si="54"/>
        <v>0</v>
      </c>
      <c r="BB13" s="264">
        <f t="shared" si="54"/>
        <v>0</v>
      </c>
      <c r="BC13" s="264">
        <f t="shared" si="54"/>
        <v>0</v>
      </c>
      <c r="BD13" s="264">
        <f t="shared" si="54"/>
        <v>0</v>
      </c>
      <c r="BE13" s="264">
        <f t="shared" si="54"/>
        <v>0</v>
      </c>
      <c r="BF13" s="264">
        <f t="shared" si="54"/>
        <v>0</v>
      </c>
      <c r="BG13" s="264" t="e">
        <f t="shared" si="54"/>
        <v>#REF!</v>
      </c>
      <c r="BH13" s="264">
        <f t="shared" si="54"/>
        <v>0</v>
      </c>
      <c r="BI13" s="264">
        <f t="shared" si="54"/>
        <v>0</v>
      </c>
      <c r="BJ13" s="264">
        <f t="shared" si="54"/>
        <v>0</v>
      </c>
      <c r="BK13" s="264">
        <f t="shared" si="54"/>
        <v>0</v>
      </c>
      <c r="BL13" s="264">
        <f t="shared" si="54"/>
        <v>0</v>
      </c>
      <c r="BM13" s="264">
        <f t="shared" si="54"/>
        <v>0</v>
      </c>
      <c r="BN13" s="264">
        <f>SUBTOTAL(3,BN11:BN11)</f>
        <v>0</v>
      </c>
      <c r="BO13" s="264">
        <f>SUBTOTAL(3,BO11:BO11)</f>
        <v>0</v>
      </c>
      <c r="BP13" s="264">
        <f>SUBTOTAL(3,BP11:BP11)</f>
        <v>0</v>
      </c>
      <c r="BQ13" s="264">
        <f>SUBTOTAL(9,BQ11:BQ11)</f>
        <v>0</v>
      </c>
      <c r="BR13" s="264">
        <f>SUBTOTAL(3,BR11:BR11)</f>
        <v>0</v>
      </c>
      <c r="BS13" s="264">
        <f>SUBTOTAL(9,BS11:BS11)</f>
        <v>0</v>
      </c>
      <c r="BT13" s="267"/>
      <c r="BU13" s="267"/>
      <c r="BV13" s="267"/>
      <c r="BW13" s="267"/>
      <c r="BX13" s="267"/>
      <c r="BY13" s="267"/>
      <c r="BZ13" s="267"/>
      <c r="CA13" s="267"/>
      <c r="CB13" s="267"/>
      <c r="CC13" s="267"/>
      <c r="CD13" s="267"/>
      <c r="CE13" s="267"/>
      <c r="CF13" s="267"/>
      <c r="CG13" s="264" t="e">
        <f>SUBTOTAL(9,CG11:CG11)</f>
        <v>#REF!</v>
      </c>
      <c r="CH13" s="264">
        <f>SUBTOTAL(3,CH11:CH11)</f>
        <v>1</v>
      </c>
      <c r="CJ13" s="266">
        <f>SUBTOTAL(3,CJ11:CJ11)</f>
        <v>0</v>
      </c>
      <c r="CK13" s="264">
        <f>SUBTOTAL(9,CK11:CK11)</f>
        <v>0</v>
      </c>
      <c r="CL13" s="264">
        <f>SUBTOTAL(9,CL11:CL11)</f>
        <v>0</v>
      </c>
      <c r="CM13" s="268"/>
      <c r="CN13" s="267"/>
      <c r="CQ13" s="267"/>
      <c r="CR13" s="267"/>
      <c r="CU13" s="264">
        <f>SUBTOTAL(3,CU11:CU11)</f>
        <v>0</v>
      </c>
      <c r="DA13" s="266">
        <f>SUBTOTAL(3,DA11:DA11)</f>
        <v>0</v>
      </c>
      <c r="DB13" s="264">
        <f>SUBTOTAL(9,DB11:DB11)</f>
        <v>0</v>
      </c>
      <c r="DC13" s="264">
        <f>SUBTOTAL(9,DC11:DC11)</f>
        <v>0</v>
      </c>
      <c r="DD13" s="264">
        <f>SUBTOTAL(3,DD11:DD11)</f>
        <v>0</v>
      </c>
      <c r="DE13" s="264">
        <f>SUBTOTAL(9,DE11:DE11)</f>
        <v>0</v>
      </c>
      <c r="DF13" s="264">
        <f>SUBTOTAL(9,DF11:DF11)</f>
        <v>0</v>
      </c>
      <c r="DG13" s="264">
        <f>SUBTOTAL(9,DG11:DG11)</f>
        <v>0</v>
      </c>
      <c r="DH13" s="264">
        <f>SUBTOTAL(9,DH11:DH11)</f>
        <v>0</v>
      </c>
      <c r="DI13" s="264">
        <f>SUBTOTAL(3,DI11:DI11)</f>
        <v>0</v>
      </c>
      <c r="DJ13" s="264">
        <f>SUBTOTAL(9,DJ11:DJ11)</f>
        <v>0</v>
      </c>
      <c r="DK13" s="264">
        <f>SUBTOTAL(9,DK11:DK11)</f>
        <v>0</v>
      </c>
      <c r="DL13" s="264">
        <f>SUBTOTAL(9,DL11:DL11)</f>
        <v>0</v>
      </c>
      <c r="DM13" s="264">
        <f>SUBTOTAL(9,DM11:DM11)</f>
        <v>0</v>
      </c>
      <c r="DN13" s="264"/>
      <c r="DO13" s="264"/>
      <c r="DP13" s="264"/>
      <c r="DQ13" s="264"/>
      <c r="DR13" s="264"/>
      <c r="DS13" s="264">
        <f t="shared" ref="DS13:DY13" si="55">SUBTOTAL(9,DS11:DS11)</f>
        <v>0</v>
      </c>
      <c r="DT13" s="264">
        <f t="shared" si="55"/>
        <v>0</v>
      </c>
      <c r="DU13" s="264">
        <f t="shared" si="55"/>
        <v>0</v>
      </c>
      <c r="DV13" s="264">
        <f t="shared" si="55"/>
        <v>0</v>
      </c>
      <c r="DW13" s="264">
        <f t="shared" si="55"/>
        <v>0</v>
      </c>
      <c r="DX13" s="264">
        <f t="shared" si="55"/>
        <v>0</v>
      </c>
      <c r="DY13" s="264">
        <f t="shared" si="55"/>
        <v>0</v>
      </c>
      <c r="DZ13" s="264">
        <f>SUBTOTAL(3,DZ11:DZ11)</f>
        <v>0</v>
      </c>
      <c r="EA13" s="264">
        <f t="shared" ref="EA13:EN13" si="56">SUBTOTAL(9,EA11:EA11)</f>
        <v>0</v>
      </c>
      <c r="EB13" s="264">
        <f t="shared" si="56"/>
        <v>0</v>
      </c>
      <c r="EC13" s="264">
        <f t="shared" si="56"/>
        <v>0</v>
      </c>
      <c r="ED13" s="264">
        <f t="shared" si="56"/>
        <v>0</v>
      </c>
      <c r="EE13" s="264">
        <f t="shared" si="56"/>
        <v>0</v>
      </c>
      <c r="EF13" s="264">
        <f t="shared" si="56"/>
        <v>0</v>
      </c>
      <c r="EG13" s="264">
        <f t="shared" si="56"/>
        <v>0</v>
      </c>
      <c r="EH13" s="264">
        <f t="shared" si="56"/>
        <v>0</v>
      </c>
      <c r="EI13" s="264">
        <f t="shared" si="56"/>
        <v>0</v>
      </c>
      <c r="EJ13" s="264">
        <f t="shared" si="56"/>
        <v>0</v>
      </c>
      <c r="EK13" s="264">
        <f t="shared" si="56"/>
        <v>0</v>
      </c>
      <c r="EL13" s="264">
        <f t="shared" si="56"/>
        <v>0</v>
      </c>
      <c r="EM13" s="264">
        <f t="shared" si="56"/>
        <v>0</v>
      </c>
      <c r="EN13" s="264">
        <f t="shared" si="56"/>
        <v>0</v>
      </c>
      <c r="EO13" s="264">
        <f t="shared" ref="EO13:EU13" si="57">SUBTOTAL(3,EO11:EO11)</f>
        <v>0</v>
      </c>
      <c r="EP13" s="264">
        <f t="shared" si="57"/>
        <v>0</v>
      </c>
      <c r="EQ13" s="264">
        <f t="shared" si="57"/>
        <v>0</v>
      </c>
      <c r="ER13" s="264">
        <f t="shared" si="57"/>
        <v>0</v>
      </c>
      <c r="ES13" s="264">
        <f t="shared" si="57"/>
        <v>0</v>
      </c>
      <c r="ET13" s="264">
        <f t="shared" si="57"/>
        <v>0</v>
      </c>
      <c r="EU13" s="264">
        <f t="shared" si="57"/>
        <v>0</v>
      </c>
      <c r="EV13" s="264">
        <f>SUBTOTAL(9,EV11:EV11)</f>
        <v>0</v>
      </c>
      <c r="EW13" s="264">
        <f>SUBTOTAL(9,EW11:EW11)</f>
        <v>0</v>
      </c>
      <c r="EX13" s="264">
        <f>SUBTOTAL(9,EX11:EX11)</f>
        <v>0</v>
      </c>
      <c r="EY13" s="264">
        <f>SUBTOTAL(3,EY11:EY11)</f>
        <v>0</v>
      </c>
      <c r="EZ13" s="264">
        <f>SUBTOTAL(3,EZ11:EZ11)</f>
        <v>0</v>
      </c>
      <c r="FA13" s="264">
        <f>SUBTOTAL(3,FA11:FA11)</f>
        <v>0</v>
      </c>
      <c r="FB13" s="264">
        <f>SUBTOTAL(3,FB11:FB11)</f>
        <v>0</v>
      </c>
      <c r="FC13" s="264">
        <f>SUBTOTAL(3,FC11:FC11)</f>
        <v>0</v>
      </c>
      <c r="FD13" s="264">
        <f>SUBTOTAL(9,FD11:FD11)</f>
        <v>0</v>
      </c>
      <c r="FE13" s="264">
        <f>SUBTOTAL(9,FE11:FE11)</f>
        <v>0</v>
      </c>
      <c r="FF13" s="264">
        <f>SUBTOTAL(9,FF11:FF11)</f>
        <v>0</v>
      </c>
      <c r="FG13" s="264">
        <f>SUBTOTAL(9,FG11:FG11)</f>
        <v>0</v>
      </c>
      <c r="FH13" s="264">
        <f>SUBTOTAL(3,FH11:FH11)</f>
        <v>0</v>
      </c>
      <c r="FI13" s="264">
        <f>SUBTOTAL(9,FI11:FI11)</f>
        <v>0</v>
      </c>
      <c r="FJ13" s="264">
        <f>SUBTOTAL(3,FJ11:FJ11)</f>
        <v>0</v>
      </c>
      <c r="FK13" s="264" t="e">
        <f t="shared" ref="FK13:FX13" si="58">SUBTOTAL(9,FK11:FK11)</f>
        <v>#VALUE!</v>
      </c>
      <c r="FL13" s="264" t="e">
        <f t="shared" si="58"/>
        <v>#VALUE!</v>
      </c>
      <c r="FM13" s="264">
        <f t="shared" si="58"/>
        <v>0</v>
      </c>
      <c r="FN13" s="264">
        <f t="shared" si="58"/>
        <v>0</v>
      </c>
      <c r="FO13" s="264">
        <f t="shared" si="58"/>
        <v>0</v>
      </c>
      <c r="FP13" s="264">
        <f t="shared" si="58"/>
        <v>0</v>
      </c>
      <c r="FQ13" s="264">
        <f t="shared" si="58"/>
        <v>0</v>
      </c>
      <c r="FR13" s="264">
        <f t="shared" si="58"/>
        <v>0</v>
      </c>
      <c r="FS13" s="264">
        <f t="shared" si="58"/>
        <v>0</v>
      </c>
      <c r="FT13" s="264">
        <f t="shared" si="58"/>
        <v>0</v>
      </c>
      <c r="FU13" s="264">
        <f t="shared" si="58"/>
        <v>0</v>
      </c>
      <c r="FV13" s="264">
        <f t="shared" si="58"/>
        <v>0</v>
      </c>
      <c r="FW13" s="264">
        <f t="shared" si="58"/>
        <v>0</v>
      </c>
      <c r="FX13" s="264">
        <f t="shared" si="58"/>
        <v>0</v>
      </c>
      <c r="FY13" s="264">
        <f>SUBTOTAL(3,FY11:FY11)</f>
        <v>1</v>
      </c>
      <c r="FZ13" s="264">
        <f>SUBTOTAL(3,FZ11:FZ11)</f>
        <v>1</v>
      </c>
      <c r="GA13" s="264">
        <f>SUBTOTAL(3,GA11:GA11)</f>
        <v>1</v>
      </c>
      <c r="GB13" s="264">
        <f>SUBTOTAL(9,GB11:GB11)</f>
        <v>0</v>
      </c>
      <c r="GC13" s="264">
        <f>SUBTOTAL(9,GC11:GC11)</f>
        <v>0</v>
      </c>
      <c r="GD13" s="264">
        <f>SUBTOTAL(3,GD11:GD11)</f>
        <v>0</v>
      </c>
      <c r="GE13" s="264">
        <f>SUBTOTAL(3,GE11:GE11)</f>
        <v>0</v>
      </c>
      <c r="GF13" s="264" t="e">
        <f>SUBTOTAL(9,GF11:GF11)</f>
        <v>#VALUE!</v>
      </c>
      <c r="GG13" s="264" t="e">
        <f>SUBTOTAL(9,GG11:GG11)</f>
        <v>#VALUE!</v>
      </c>
      <c r="GI13" s="267"/>
      <c r="GJ13" s="267"/>
      <c r="GK13" s="267"/>
      <c r="GL13" s="264">
        <f>SUBTOTAL(9,GL11:GL11)</f>
        <v>0</v>
      </c>
      <c r="GM13" s="264">
        <f>SUBTOTAL(9,GM11:GM11)</f>
        <v>0</v>
      </c>
      <c r="GN13" s="264">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jinkhUdk1KaJAlN8Bw/XPu3RDp3hnbWCb0Mf2zG01JYVbvFWaRtyILvEt3Y8Ju6HCbtdjOUs2sAfIg2rTZhaqQ==" saltValue="Lqh/GUf8bU41bDj83o32Zw==" spinCount="100000" sheet="1" objects="1" scenarios="1"/>
  <mergeCells count="8">
    <mergeCell ref="X4:Z4"/>
    <mergeCell ref="AB4:AD4"/>
    <mergeCell ref="DU4:DW4"/>
    <mergeCell ref="DX4:EA4"/>
    <mergeCell ref="BT5:BY5"/>
    <mergeCell ref="BZ5:CE5"/>
    <mergeCell ref="AY3:AY5"/>
    <mergeCell ref="CW3:CY4"/>
  </mergeCells>
  <phoneticPr fontId="1"/>
  <conditionalFormatting sqref="O6:AY11">
    <cfRule type="expression" dxfId="5" priority="3">
      <formula>($D6="改修")</formula>
    </cfRule>
  </conditionalFormatting>
  <conditionalFormatting sqref="DB6:FE11">
    <cfRule type="expression" dxfId="4" priority="1">
      <formula>OR($D6="改修",$D6="登録")</formula>
    </cfRule>
  </conditionalFormatting>
  <conditionalFormatting sqref="FF6:GG10 AZ6:BS11">
    <cfRule type="expression" dxfId="3" priority="2">
      <formula>OR($D6="新築",$D6="登録")</formula>
    </cfRule>
  </conditionalFormatting>
  <dataValidations count="58">
    <dataValidation operator="lessThanOrEqual" allowBlank="1" showInputMessage="1" showErrorMessage="1" error="県産材の実使用量より大きな値は入力しないでください。" sqref="DQ6:DR10" xr:uid="{6C807F51-3400-4413-8163-F1706B74F474}"/>
    <dataValidation type="whole" operator="lessThanOrEqual" allowBlank="1" showInputMessage="1" showErrorMessage="1" error="県産材の実使用量より大きな値は入力しないでください。" sqref="DM6:DN10" xr:uid="{FE538F37-D17E-44FF-9F3E-581372556E0A}">
      <formula1>DH6</formula1>
    </dataValidation>
    <dataValidation type="whole" operator="lessThanOrEqual" allowBlank="1" showInputMessage="1" showErrorMessage="1" error="県産材の実使用量より大きな値は入力しないでください。" sqref="DP6:DP10" xr:uid="{DB537588-96A0-4C87-A7B5-7D4A18954379}">
      <formula1>DI6</formula1>
    </dataValidation>
    <dataValidation type="list" allowBlank="1" showInputMessage="1" showErrorMessage="1" sqref="DA11 G11" xr:uid="{A099EDFC-F377-450A-BDD9-8587FFA93F3C}">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0" xr:uid="{FAD5691C-137C-4A2A-B420-29509FF7DDC3}">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0" xr:uid="{4E507930-B3D1-4539-A5F0-97E742B084DE}">
      <formula1>7</formula1>
    </dataValidation>
    <dataValidation allowBlank="1" showErrorMessage="1" sqref="GE6:GE10" xr:uid="{ECAC03C6-36C7-47D9-BF16-1692136ADBEA}"/>
    <dataValidation operator="greaterThanOrEqual" allowBlank="1" showInputMessage="1" showErrorMessage="1" error="整数値で入力" sqref="FJ6:FJ10" xr:uid="{35A93086-D774-4D4F-A2B9-D154CA536781}"/>
    <dataValidation allowBlank="1" showInputMessage="1" showErrorMessage="1" error="0.3以上が補助対象、実木材使用量以下の数値を入力" sqref="FH6:FH10" xr:uid="{7536ECA5-10B0-4C54-8426-B24CBFB82D9B}"/>
    <dataValidation type="list" allowBlank="1" showInputMessage="1" showErrorMessage="1" prompt="EO列に畳事業者名を入力してください。" sqref="ET6:ET10" xr:uid="{DCEE0F3D-F4D6-4DD6-9CC8-D699BA4B7D1C}">
      <formula1>"1"</formula1>
    </dataValidation>
    <dataValidation type="list" allowBlank="1" showInputMessage="1" showErrorMessage="1" prompt="EN列の木製建具事業者名も入力してください。" sqref="ES6:ES10" xr:uid="{0100E37C-8166-4916-A9E6-21821E1FE335}">
      <formula1>"1,2"</formula1>
    </dataValidation>
    <dataValidation type="list" allowBlank="1" showInputMessage="1" showErrorMessage="1" prompt="EM列の左官材料の種類も選択してください。" sqref="EQ6:EQ10" xr:uid="{AE74CD23-6AD4-4367-93DD-8D74324729D5}">
      <formula1>"1,2"</formula1>
    </dataValidation>
    <dataValidation type="list" allowBlank="1" showInputMessage="1" showErrorMessage="1" prompt="EL列の瓦の種類も選択してください。" sqref="ER6:ER10" xr:uid="{C756F71A-FDB1-43AC-8113-DD82F7FEF857}">
      <formula1>"2"</formula1>
    </dataValidation>
    <dataValidation type="list" allowBlank="1" showErrorMessage="1" sqref="EZ6:FA10 GD6:GD10" xr:uid="{E4190C8C-00A0-445C-95E9-CDD3D02FCDBD}">
      <formula1>"モルタル塗,漆喰塗,土壁塗,そとん壁,じゅらく塗,珪藻土塗,その他"</formula1>
    </dataValidation>
    <dataValidation type="list" allowBlank="1" showErrorMessage="1" sqref="EY6:EY10" xr:uid="{40C174F8-F5BD-4130-A3E9-73309ADED95F}">
      <formula1>"平板瓦,和瓦,S瓦"</formula1>
    </dataValidation>
    <dataValidation operator="greaterThanOrEqual" allowBlank="1" showInputMessage="1" showErrorMessage="1" error="県産材の実使用量より大きな値は入力しないでください。" sqref="DZ6:DZ10" xr:uid="{C8AE7E2B-0BEC-4BAD-A7AC-19A347115ABD}"/>
    <dataValidation operator="lessThanOrEqual" allowBlank="1" showInputMessage="1" showErrorMessage="1" error="県産材の実使用量より大きな値は入力しないでください（整数値入力）。" sqref="DI6:DI10 S11 V11 AC11 Y11 AF11:AG11 AJ11:AK11 AN11:AT11" xr:uid="{606E286C-2132-4C5A-AE5E-B22C7936AFE1}"/>
    <dataValidation allowBlank="1" showInputMessage="1" showErrorMessage="1" error="実木材使用量より大きな値は入力しないでください。補助対象は10m3以上です（整数値で入力）。" sqref="DD6:DD10 P11" xr:uid="{2E070194-B279-4DA2-9CBC-FF8DD5932CB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C4E5E31C-7265-407F-B7AA-5E1DDA3E41CF}">
      <formula1>7</formula1>
    </dataValidation>
    <dataValidation type="list" allowBlank="1" showInputMessage="1" showErrorMessage="1" prompt="AX列の左官材料の種類も選択してください。" sqref="AP6:AP10" xr:uid="{96F9EA16-02D0-4ADA-B85F-5A6C225FDC33}">
      <formula1>"1,2"</formula1>
    </dataValidation>
    <dataValidation type="list" allowBlank="1" showInputMessage="1" showErrorMessage="1" prompt="AW列の瓦の種類も選択してください。" sqref="AQ6:AQ10" xr:uid="{BFE7F12E-55D9-48E3-B95A-127AD9372DC6}">
      <formula1>"2"</formula1>
    </dataValidation>
    <dataValidation allowBlank="1" showInputMessage="1" showErrorMessage="1" prompt="自動計算" sqref="EV6:EX11 EL6:EN11 FP6:FR10 FK6:FM10 GF6:GG10 DE6:DG11 EG6:EI11 EA6:ED11 FD6:FE11 GB6:GC10 DO6:DO11 AD6:AE11 B6:B11 BG6:BH11 Q6:R11 GL6:GN11 T6:U11 AU6:AV11 AL6:AM11 BC6:BD11 BL6:BM11 BQ6:BQ11 BS6:BS11 CG6:CG11 AH6:AI11 AY6:AY11 Z6:AB11 W6:X11 DJ6:DL11 DS6:DU11 DW6:DX11 E6:E11 FV6:FX10" xr:uid="{38C54FDF-0B0E-497F-B9E3-235405AFB2F5}"/>
    <dataValidation type="list" allowBlank="1" showInputMessage="1" showErrorMessage="1" sqref="BR6:BR11 AX6:AX11" xr:uid="{EBA8D21B-3179-443D-9808-6C31C8EED0D7}">
      <formula1>"モルタル塗,漆喰塗,土壁塗,そとん壁,じゅらく塗,珪藻土塗,その他"</formula1>
    </dataValidation>
    <dataValidation type="list" allowBlank="1" showInputMessage="1" showErrorMessage="1" sqref="AW6:AW11" xr:uid="{F2167E74-A96A-4F42-908A-B3CF729DB3F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FDC80BD7-E307-49EF-865F-B469B163E432}">
      <formula1>"新築,改修,登録"</formula1>
    </dataValidation>
    <dataValidation type="list" allowBlank="1" showInputMessage="1" showErrorMessage="1" sqref="CJ6:CJ11" xr:uid="{C77EDF0C-F828-4FA3-88A6-0C50A7518AFE}">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P6:BP11" xr:uid="{A2FE365E-0A9B-4B65-836D-118354ADDBB0}">
      <formula1>3</formula1>
    </dataValidation>
    <dataValidation type="whole" operator="greaterThanOrEqual" allowBlank="1" showInputMessage="1" showErrorMessage="1" error="７未満の値は入力しないでください。（補助対象となるのは最低７平方メートル以上です）" sqref="BN6:BN11 FY6:FY10" xr:uid="{3A7E225D-96E1-4593-9FC7-0EC5F21DBA01}">
      <formula1>7</formula1>
    </dataValidation>
    <dataValidation type="whole" operator="greaterThanOrEqual" allowBlank="1" showInputMessage="1" showErrorMessage="1" error="整数値で入力" sqref="BB6:BB11 FI6:FI10" xr:uid="{469BC690-B2C7-44A8-A7F0-7D03CA515137}">
      <formula1>0</formula1>
    </dataValidation>
    <dataValidation type="list" allowBlank="1" showInputMessage="1" showErrorMessage="1" sqref="AO6:AO10 EP6:EP10" xr:uid="{FFC804CB-B203-4D40-9876-A18AB0BE0D19}">
      <formula1>"2"</formula1>
    </dataValidation>
    <dataValidation type="list" allowBlank="1" showInputMessage="1" showErrorMessage="1" sqref="AR6:AR10 AT6:AT10 EU6:EU10" xr:uid="{2F829BDA-589C-4CC4-B985-CF3233A3F712}">
      <formula1>"1,2"</formula1>
    </dataValidation>
    <dataValidation type="list" allowBlank="1" showInputMessage="1" showErrorMessage="1" sqref="AN6:AN10 EO6:EO10" xr:uid="{59D84045-B41B-4AF8-B3D2-91808F57E69B}">
      <formula1>"4"</formula1>
    </dataValidation>
    <dataValidation type="whole" operator="greaterThanOrEqual" allowBlank="1" showInputMessage="1" showErrorMessage="1" error="10以上の整数値を入力してください。" sqref="O6:O10 DB6:DB10" xr:uid="{18147339-8424-4C9D-BA27-2D3B5F4457EC}">
      <formula1>10</formula1>
    </dataValidation>
    <dataValidation type="whole" operator="greaterThanOrEqual" allowBlank="1" showInputMessage="1" showErrorMessage="1" error="県産材の実使用量より大きな値は入力しないでください。" sqref="AC6:AC10 DY6:DY10" xr:uid="{5415F28E-1BB0-4392-9FD2-6F4806742E9B}">
      <formula1>0</formula1>
    </dataValidation>
    <dataValidation type="list" allowBlank="1" showInputMessage="1" showErrorMessage="1" sqref="M6:M10" xr:uid="{A8F3E3F3-59E4-4812-8BCC-A63D702B9031}">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DA6:DA10 F6:F11" xr:uid="{22E882C6-A666-47A6-B388-A380E79EAAAF}">
      <formula1>"債,支→債,債→支"</formula1>
    </dataValidation>
    <dataValidation type="date" operator="greaterThanOrEqual" allowBlank="1" showInputMessage="1" showErrorMessage="1" error="日付以外の内容は入力できません" sqref="CE10 BU10 BV6:BV10 BW10 BX6:BX10 BY10 CA10 CB6:CB10 CC10 CD6:CD10 BT6:BT10" xr:uid="{1D06CDE9-BAB4-461E-9074-2DF7970CFF21}">
      <formula1>1</formula1>
    </dataValidation>
    <dataValidation type="list" allowBlank="1" showInputMessage="1" showErrorMessage="1" sqref="CM6:CM10" xr:uid="{4F2635F1-1D2F-46AA-AD86-75C5240925EF}">
      <formula1>"要,不要"</formula1>
    </dataValidation>
    <dataValidation type="decimal" operator="greaterThanOrEqual" allowBlank="1" showInputMessage="1" showErrorMessage="1" error="数値以外は入力できません" sqref="CK6:CL10" xr:uid="{69E910C1-A952-4960-A866-7AB6CEB7F8D9}">
      <formula1>0</formula1>
    </dataValidation>
    <dataValidation type="date" operator="greaterThanOrEqual" allowBlank="1" showInputMessage="1" showErrorMessage="1" error="日付以外は入力できません" sqref="CN6:CN10 GI6:GK11 CQ6:CR11" xr:uid="{6D1B5294-CA99-4DF5-9CB4-7B0DF914CF59}">
      <formula1>1</formula1>
    </dataValidation>
    <dataValidation type="date" operator="greaterThanOrEqual" allowBlank="1" showInputMessage="1" showErrorMessage="1" error="日付以外の値は入力できません" sqref="H6:H11" xr:uid="{6E741076-1649-4A9D-BB08-5CB24C0D8214}">
      <formula1>1</formula1>
    </dataValidation>
    <dataValidation type="list" allowBlank="1" showInputMessage="1" showErrorMessage="1" sqref="GH6:GH11" xr:uid="{07D7E9E9-B3C6-4632-BBC3-DAFBD73ADFD3}">
      <formula1>"実績,取下,取消"</formula1>
    </dataValidation>
    <dataValidation type="list" allowBlank="1" showInputMessage="1" showErrorMessage="1" sqref="CP6:CP11" xr:uid="{FF349D70-66D1-42EF-A951-BCBD722A0D72}">
      <formula1>"若年子育て,三世代近居,三世代同居"</formula1>
    </dataValidation>
    <dataValidation type="list" allowBlank="1" showInputMessage="1" showErrorMessage="1" sqref="EE6:EF10 FN6:FO10 AS6:AS10 EJ6:EK10 AJ6:AK10 BE6:BF11 BI6:BK11 AF6:AG10 FS6:FU10" xr:uid="{948703D9-C0BD-4AB5-AE6E-37A241C945DB}">
      <formula1>"1"</formula1>
    </dataValidation>
    <dataValidation type="decimal" operator="greaterThanOrEqual" allowBlank="1" showInputMessage="1" showErrorMessage="1" sqref="AZ6:AZ11 FF6:FF10" xr:uid="{BF0E4777-F69C-4A9A-8BA2-FFCB7FBF3EEA}">
      <formula1>0</formula1>
    </dataValidation>
    <dataValidation imeMode="halfAlpha" allowBlank="1" showInputMessage="1" showErrorMessage="1" sqref="L1:L1048576 J1:J1048576" xr:uid="{F0FC69E5-2233-4F7F-A042-A313E7381173}"/>
    <dataValidation type="whole" allowBlank="1" showInputMessage="1" showErrorMessage="1" error="実木材使用量より大きな値は入力しないでください。補助対象は10m3以上です（整数値で入力）。" sqref="P6:P10 DC6:DC10" xr:uid="{94BA7D27-AB9B-411B-B7AA-AFB58AF2880E}">
      <formula1>10</formula1>
      <formula2>O6</formula2>
    </dataValidation>
    <dataValidation type="decimal" operator="lessThanOrEqual" allowBlank="1" showInputMessage="1" showErrorMessage="1" error="県産材の実使用量より大きな値は入力しないでください。" sqref="DV6:DV10" xr:uid="{2FF90FE7-9708-4072-B55E-6239EFFE88F1}">
      <formula1>DH6</formula1>
    </dataValidation>
    <dataValidation type="whole" operator="lessThanOrEqual" allowBlank="1" showInputMessage="1" showErrorMessage="1" error="県産材の実使用量より大きな値は入力しないでください（整数値入力）。" sqref="DH6:DH10" xr:uid="{7B429D9E-0C4D-4E69-8D04-831F7D9BBAA5}">
      <formula1>DC6</formula1>
    </dataValidation>
    <dataValidation type="decimal" allowBlank="1" showInputMessage="1" showErrorMessage="1" error="0.3以上が補助対象、実木材使用量以下の数値を入力" sqref="BA6:BA11 FG6:FG10" xr:uid="{3A3CDB8E-05DC-4C6A-8D27-BD4FC8338CA6}">
      <formula1>0.3</formula1>
      <formula2>AZ6</formula2>
    </dataValidation>
    <dataValidation type="whole" operator="lessThanOrEqual" allowBlank="1" showInputMessage="1" showErrorMessage="1" error="県産材の実使用量より大きな値は入力しないでください（整数値入力）。" sqref="S6:S10" xr:uid="{89C5A52F-C007-4041-A6F1-49A6785343BC}">
      <formula1>P6</formula1>
    </dataValidation>
    <dataValidation type="whole" operator="lessThanOrEqual" allowBlank="1" showInputMessage="1" showErrorMessage="1" error="県産材の実使用量より大きな値は入力しないでください。" sqref="V6:V10" xr:uid="{5135AA51-44F9-4BFF-BEA8-3C2A54089516}">
      <formula1>S6</formula1>
    </dataValidation>
    <dataValidation type="date" operator="greaterThanOrEqual" allowBlank="1" showInputMessage="1" showErrorMessage="1" error="申請日より前の日付や、日付以外の内容は入力できません" sqref="BZ6:BZ10" xr:uid="{0484ED1C-AB0B-4BD8-86B0-301F86384B65}">
      <formula1>BT6</formula1>
    </dataValidation>
    <dataValidation type="date" operator="greaterThanOrEqual" allowBlank="1" showInputMessage="1" showErrorMessage="1" error="申請日より前の日付や、日付以外の内容は入力できません" sqref="CF6:CF10" xr:uid="{55160946-9322-46D2-8B92-8DF3EF3032F3}">
      <formula1>H6</formula1>
    </dataValidation>
    <dataValidation type="decimal" operator="lessThanOrEqual" allowBlank="1" showInputMessage="1" showErrorMessage="1" error="県産材の実使用量より大きな値は入力しないでください。" sqref="Y6:Y10" xr:uid="{76414412-585B-42F4-B387-1745CEA6C435}">
      <formula1>S6</formula1>
    </dataValidation>
    <dataValidation operator="greaterThanOrEqual" allowBlank="1" showInputMessage="1" showErrorMessage="1" error="10以上の整数値を入力してください。" sqref="O11 DB11:DD11 DH11:DI11 EY11:FC11 DY11:DZ11 DV11 EE11:EF11 EJ11:EK11 EO11:EU11 DM11:DN11 DP11:DR11" xr:uid="{E7880AE8-607A-4200-946B-1EA6B2106522}"/>
    <dataValidation operator="greaterThanOrEqual" allowBlank="1" showInputMessage="1" showErrorMessage="1" error="日付以外の内容は入力できません" sqref="BY6:BY9 BU6:BU9 BW6:BW9 CC6:CC9 CE6:CE9 CA6:CA9 BT11:CF11" xr:uid="{552551CC-83DE-40CF-8173-EA5E250664D6}"/>
    <dataValidation operator="greaterThanOrEqual" allowBlank="1" showInputMessage="1" showErrorMessage="1" error="数値以外は入力できません" sqref="CK11:CO11 CS11:CY11" xr:uid="{6E45E110-F961-49BA-A191-9725AE3EB80F}"/>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M27"/>
  <sheetViews>
    <sheetView topLeftCell="A2" workbookViewId="0">
      <selection activeCell="I11" sqref="I11"/>
    </sheetView>
  </sheetViews>
  <sheetFormatPr defaultColWidth="9" defaultRowHeight="13.2" outlineLevelRow="1" outlineLevelCol="1" x14ac:dyDescent="0.2"/>
  <cols>
    <col min="1" max="1" width="9" style="92"/>
    <col min="2" max="2" width="6.6640625" style="90" customWidth="1"/>
    <col min="3" max="3" width="6.6640625" customWidth="1"/>
    <col min="4" max="5" width="7.6640625" style="91" customWidth="1"/>
    <col min="6" max="6" width="9.6640625" style="92" customWidth="1"/>
    <col min="7" max="7" width="8.77734375" style="92" customWidth="1"/>
    <col min="8" max="8" width="11.6640625" style="93" customWidth="1"/>
    <col min="9" max="9" width="26.44140625" style="92" customWidth="1"/>
    <col min="10" max="10" width="10.6640625" style="91" customWidth="1"/>
    <col min="11" max="11" width="50" style="92" customWidth="1"/>
    <col min="12" max="12" width="16.6640625" style="91" customWidth="1"/>
    <col min="13" max="13" width="10.6640625" style="91" customWidth="1"/>
    <col min="14" max="14" width="57" style="92" customWidth="1"/>
    <col min="15" max="31" width="6.6640625" style="95" hidden="1" customWidth="1"/>
    <col min="32" max="33" width="6.6640625" style="95" hidden="1" customWidth="1" outlineLevel="1"/>
    <col min="34" max="35" width="6.6640625" style="95" hidden="1" customWidth="1"/>
    <col min="36" max="37" width="6.6640625" style="95" hidden="1" customWidth="1" outlineLevel="1"/>
    <col min="38" max="50" width="6.6640625" style="95" hidden="1" customWidth="1"/>
    <col min="51" max="51" width="6.109375" style="95" hidden="1" customWidth="1"/>
    <col min="52" max="52" width="6.6640625" style="95" hidden="1" customWidth="1"/>
    <col min="53" max="53" width="9" style="95" hidden="1" customWidth="1"/>
    <col min="54" max="57" width="6.6640625" style="95" hidden="1" customWidth="1"/>
    <col min="58" max="59" width="6.6640625" style="95" hidden="1" customWidth="1" outlineLevel="1"/>
    <col min="60" max="61" width="6.6640625" style="95" hidden="1" customWidth="1"/>
    <col min="62" max="64" width="6.6640625" style="95" hidden="1" customWidth="1" outlineLevel="1"/>
    <col min="65" max="66" width="6.6640625" style="95" hidden="1" customWidth="1"/>
    <col min="67" max="69" width="6.6640625" style="95" hidden="1" customWidth="1" outlineLevel="1"/>
    <col min="70" max="72" width="6.6640625" style="95" hidden="1" customWidth="1"/>
    <col min="73" max="73" width="10.6640625" style="93" hidden="1" customWidth="1"/>
    <col min="74" max="74" width="3.33203125" style="93" hidden="1" customWidth="1"/>
    <col min="75" max="75" width="4.33203125" style="93" hidden="1" customWidth="1"/>
    <col min="76" max="76" width="3.33203125" style="93" hidden="1" customWidth="1"/>
    <col min="77" max="77" width="4.88671875" style="93" hidden="1" customWidth="1"/>
    <col min="78" max="78" width="3.33203125" style="93" hidden="1" customWidth="1"/>
    <col min="79" max="79" width="10.6640625" style="93" hidden="1" customWidth="1"/>
    <col min="80" max="80" width="3.33203125" style="93" hidden="1" customWidth="1"/>
    <col min="81" max="81" width="4.33203125" style="93" hidden="1" customWidth="1"/>
    <col min="82" max="82" width="3.33203125" style="93" hidden="1" customWidth="1"/>
    <col min="83" max="83" width="4.88671875" style="93" hidden="1" customWidth="1"/>
    <col min="84" max="84" width="3.33203125" style="93" hidden="1" customWidth="1"/>
    <col min="85" max="85" width="10.6640625" style="93" hidden="1" customWidth="1"/>
    <col min="86" max="86" width="9" style="96" hidden="1" customWidth="1"/>
    <col min="87" max="87" width="29.33203125" style="92" hidden="1" customWidth="1"/>
    <col min="88" max="88" width="40.6640625" style="92" hidden="1" customWidth="1"/>
    <col min="89" max="89" width="10.77734375" style="91" hidden="1" customWidth="1"/>
    <col min="90" max="91" width="9" style="92" hidden="1" customWidth="1"/>
    <col min="92" max="92" width="9" style="91" hidden="1" customWidth="1"/>
    <col min="93" max="93" width="9" style="93" hidden="1" customWidth="1"/>
    <col min="94" max="95" width="9" style="92" hidden="1" customWidth="1"/>
    <col min="96" max="97" width="9" style="93" hidden="1" customWidth="1"/>
    <col min="98" max="98" width="11" style="92" hidden="1" customWidth="1"/>
    <col min="99" max="99" width="3.33203125" style="92" hidden="1" customWidth="1"/>
    <col min="100" max="100" width="3.88671875" style="92" hidden="1" customWidth="1"/>
    <col min="101" max="101" width="4.44140625" style="92" hidden="1" customWidth="1"/>
    <col min="102" max="102" width="3.88671875" style="92" hidden="1" customWidth="1"/>
    <col min="103" max="103" width="3.44140625" style="92" hidden="1" customWidth="1"/>
    <col min="104" max="104" width="4.44140625" style="92" hidden="1" customWidth="1"/>
    <col min="105" max="105" width="9" style="92" hidden="1" customWidth="1"/>
    <col min="106" max="106" width="8.77734375" style="92" hidden="1" customWidth="1"/>
    <col min="107" max="108" width="6.6640625" style="95" hidden="1" customWidth="1"/>
    <col min="109" max="109" width="10.21875" style="95" hidden="1" customWidth="1"/>
    <col min="110" max="113" width="6.6640625" style="95" hidden="1" customWidth="1"/>
    <col min="114" max="114" width="10.109375" style="95" hidden="1" customWidth="1"/>
    <col min="115" max="118" width="6.6640625" style="95" hidden="1" customWidth="1"/>
    <col min="119" max="119" width="10" style="95" hidden="1" customWidth="1"/>
    <col min="120" max="126" width="6.6640625" style="95" hidden="1" customWidth="1"/>
    <col min="127" max="127" width="9.6640625" style="95" hidden="1" customWidth="1"/>
    <col min="128" max="131" width="6.6640625" style="95" hidden="1" customWidth="1"/>
    <col min="132" max="133" width="6.6640625" style="95" hidden="1" customWidth="1" outlineLevel="1"/>
    <col min="134" max="136" width="6.6640625" style="95" hidden="1" customWidth="1"/>
    <col min="137" max="138" width="6.6640625" style="95" hidden="1" customWidth="1" outlineLevel="1"/>
    <col min="139" max="154" width="6.6640625" style="95" hidden="1" customWidth="1"/>
    <col min="155" max="156" width="8.6640625" style="95" hidden="1" customWidth="1"/>
    <col min="157" max="157" width="6.6640625" style="95" hidden="1" customWidth="1"/>
    <col min="158" max="158" width="8.77734375" style="95" hidden="1" customWidth="1"/>
    <col min="159" max="159" width="9" style="95" customWidth="1"/>
    <col min="160" max="160" width="6.6640625" style="95" customWidth="1"/>
    <col min="161" max="161" width="10.109375" style="95" customWidth="1"/>
    <col min="162" max="162" width="6.6640625" style="95" customWidth="1"/>
    <col min="163" max="163" width="10" style="95" customWidth="1"/>
    <col min="164" max="164" width="8.109375" style="95" customWidth="1"/>
    <col min="165" max="166" width="6.6640625" style="95" customWidth="1"/>
    <col min="167" max="168" width="6.6640625" style="95" customWidth="1" outlineLevel="1"/>
    <col min="169" max="169" width="8.88671875" style="95" customWidth="1"/>
    <col min="170" max="171" width="6.6640625" style="95" customWidth="1"/>
    <col min="172" max="174" width="6.6640625" style="95" customWidth="1" outlineLevel="1"/>
    <col min="175" max="176" width="8.88671875" style="95" customWidth="1"/>
    <col min="177" max="177" width="8.33203125" style="95" customWidth="1"/>
    <col min="178" max="180" width="6.6640625" style="95" customWidth="1" outlineLevel="1"/>
    <col min="181" max="181" width="9" style="95" customWidth="1"/>
    <col min="182" max="182" width="8.44140625" style="95" customWidth="1"/>
    <col min="183" max="183" width="6.6640625" style="95" customWidth="1"/>
    <col min="184" max="184" width="10.88671875" style="95" customWidth="1"/>
    <col min="185" max="185" width="6.6640625" style="95" customWidth="1"/>
    <col min="186" max="186" width="10.109375" style="95" customWidth="1"/>
    <col min="187" max="187" width="6.6640625" style="92" customWidth="1"/>
    <col min="188" max="188" width="9.77734375" style="93" customWidth="1"/>
    <col min="189" max="189" width="9.44140625" style="93" customWidth="1"/>
    <col min="190" max="190" width="9.44140625" style="93" bestFit="1" customWidth="1"/>
    <col min="191" max="193" width="9" style="96"/>
    <col min="194" max="16384" width="9" style="92"/>
  </cols>
  <sheetData>
    <row r="1" spans="2:871" x14ac:dyDescent="0.2">
      <c r="C1" t="s">
        <v>402</v>
      </c>
      <c r="I1" s="94" t="s">
        <v>214</v>
      </c>
    </row>
    <row r="2" spans="2:871" x14ac:dyDescent="0.2">
      <c r="H2" s="97" t="s">
        <v>215</v>
      </c>
      <c r="I2" s="98"/>
      <c r="J2" s="99"/>
      <c r="K2" s="98"/>
      <c r="L2" s="99"/>
      <c r="M2" s="99"/>
      <c r="N2" s="98"/>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97"/>
      <c r="BV2" s="97"/>
      <c r="BW2" s="97"/>
      <c r="BX2" s="97"/>
      <c r="BY2" s="97"/>
      <c r="BZ2" s="97"/>
      <c r="CA2" s="97"/>
      <c r="CB2" s="97"/>
      <c r="CC2" s="97"/>
      <c r="CD2" s="97"/>
      <c r="CE2" s="97"/>
      <c r="CF2" s="97"/>
      <c r="CG2" s="97"/>
      <c r="CH2" s="101"/>
      <c r="CI2" s="98"/>
      <c r="CJ2" s="98"/>
      <c r="CK2" s="99"/>
      <c r="CL2" s="98"/>
      <c r="CM2" s="98"/>
      <c r="CN2" s="99"/>
      <c r="CO2" s="98"/>
      <c r="CP2" s="98"/>
      <c r="CQ2" s="98"/>
      <c r="CR2" s="98"/>
      <c r="CS2" s="98"/>
      <c r="CT2" s="98"/>
      <c r="CU2" s="98"/>
      <c r="CV2" s="98"/>
      <c r="CW2" s="98"/>
      <c r="CX2" s="98"/>
      <c r="CY2" s="98"/>
      <c r="CZ2" s="98"/>
      <c r="DC2" s="102" t="s">
        <v>216</v>
      </c>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row>
    <row r="3" spans="2:871" s="128" customFormat="1" ht="54" x14ac:dyDescent="0.2">
      <c r="B3" s="103" t="s">
        <v>217</v>
      </c>
      <c r="C3" s="104" t="s">
        <v>218</v>
      </c>
      <c r="D3" s="105" t="s">
        <v>219</v>
      </c>
      <c r="E3" s="105"/>
      <c r="F3" s="106" t="s">
        <v>220</v>
      </c>
      <c r="G3" s="107" t="s">
        <v>221</v>
      </c>
      <c r="H3" s="109" t="s">
        <v>223</v>
      </c>
      <c r="I3" s="110" t="s">
        <v>224</v>
      </c>
      <c r="J3" s="111"/>
      <c r="K3" s="112"/>
      <c r="L3" s="113"/>
      <c r="M3" s="114" t="s">
        <v>225</v>
      </c>
      <c r="N3" s="115"/>
      <c r="O3" s="116" t="s">
        <v>226</v>
      </c>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483" t="s">
        <v>227</v>
      </c>
      <c r="BA3" s="118" t="s">
        <v>228</v>
      </c>
      <c r="BB3" s="118"/>
      <c r="BC3" s="118"/>
      <c r="BD3" s="118"/>
      <c r="BE3" s="118"/>
      <c r="BF3" s="118"/>
      <c r="BG3" s="118"/>
      <c r="BH3" s="118"/>
      <c r="BI3" s="118"/>
      <c r="BJ3" s="118"/>
      <c r="BK3" s="118"/>
      <c r="BL3" s="118"/>
      <c r="BM3" s="118"/>
      <c r="BN3" s="118"/>
      <c r="BO3" s="118"/>
      <c r="BP3" s="118"/>
      <c r="BQ3" s="118"/>
      <c r="BR3" s="118"/>
      <c r="BS3" s="118"/>
      <c r="BT3" s="118"/>
      <c r="BU3" s="119" t="s">
        <v>229</v>
      </c>
      <c r="BV3" s="120"/>
      <c r="BW3" s="120"/>
      <c r="BX3" s="120"/>
      <c r="BY3" s="120"/>
      <c r="BZ3" s="120"/>
      <c r="CA3" s="120"/>
      <c r="CB3" s="120"/>
      <c r="CC3" s="120"/>
      <c r="CD3" s="120"/>
      <c r="CE3" s="120"/>
      <c r="CF3" s="120"/>
      <c r="CG3" s="121" t="s">
        <v>230</v>
      </c>
      <c r="CH3" s="122"/>
      <c r="CI3" s="123" t="s">
        <v>231</v>
      </c>
      <c r="CJ3" s="124"/>
      <c r="CK3" s="125" t="s">
        <v>232</v>
      </c>
      <c r="CL3" s="106" t="s">
        <v>233</v>
      </c>
      <c r="CM3" s="106" t="s">
        <v>234</v>
      </c>
      <c r="CN3" s="105" t="s">
        <v>235</v>
      </c>
      <c r="CO3" s="119" t="s">
        <v>236</v>
      </c>
      <c r="CP3" s="124"/>
      <c r="CQ3" s="126" t="s">
        <v>237</v>
      </c>
      <c r="CR3" s="120"/>
      <c r="CS3" s="120"/>
      <c r="CT3" s="127"/>
      <c r="CU3" s="124"/>
      <c r="CV3" s="126" t="s">
        <v>238</v>
      </c>
      <c r="CW3" s="124"/>
      <c r="CX3" s="485" t="s">
        <v>239</v>
      </c>
      <c r="CY3" s="486"/>
      <c r="CZ3" s="487"/>
      <c r="DB3" s="108" t="s">
        <v>222</v>
      </c>
      <c r="DC3" s="116" t="s">
        <v>240</v>
      </c>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29"/>
      <c r="FC3" s="130" t="s">
        <v>241</v>
      </c>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18"/>
      <c r="GB3" s="118"/>
      <c r="GC3" s="118"/>
      <c r="GD3" s="118"/>
      <c r="GE3" s="126" t="s">
        <v>242</v>
      </c>
      <c r="GF3" s="132"/>
      <c r="GG3" s="132"/>
      <c r="GH3" s="132"/>
      <c r="GI3" s="133"/>
      <c r="GJ3" s="133"/>
      <c r="GK3" s="122"/>
    </row>
    <row r="4" spans="2:871" ht="36" x14ac:dyDescent="0.15">
      <c r="B4" s="134"/>
      <c r="C4" s="135"/>
      <c r="D4" s="136"/>
      <c r="E4" s="136"/>
      <c r="F4" s="137"/>
      <c r="G4" s="137"/>
      <c r="H4" s="138"/>
      <c r="I4" s="139" t="s">
        <v>243</v>
      </c>
      <c r="J4" s="140" t="s">
        <v>244</v>
      </c>
      <c r="K4" s="141" t="s">
        <v>245</v>
      </c>
      <c r="L4" s="140" t="s">
        <v>246</v>
      </c>
      <c r="M4" s="140"/>
      <c r="N4" s="139"/>
      <c r="O4" s="142"/>
      <c r="P4" s="143" t="s">
        <v>247</v>
      </c>
      <c r="Q4" s="144"/>
      <c r="R4" s="145" t="s">
        <v>248</v>
      </c>
      <c r="S4" s="146"/>
      <c r="T4" s="147"/>
      <c r="U4" s="148" t="s">
        <v>249</v>
      </c>
      <c r="V4" s="149"/>
      <c r="W4" s="150"/>
      <c r="X4" s="477" t="s">
        <v>250</v>
      </c>
      <c r="Y4" s="478"/>
      <c r="Z4" s="478"/>
      <c r="AA4" s="151"/>
      <c r="AB4" s="477" t="s">
        <v>251</v>
      </c>
      <c r="AC4" s="478"/>
      <c r="AD4" s="479"/>
      <c r="AE4" s="152" t="s">
        <v>252</v>
      </c>
      <c r="AF4" s="153"/>
      <c r="AG4" s="153"/>
      <c r="AH4" s="154"/>
      <c r="AI4" s="155" t="s">
        <v>253</v>
      </c>
      <c r="AJ4" s="156"/>
      <c r="AK4" s="156"/>
      <c r="AL4" s="157"/>
      <c r="AM4" s="158" t="s">
        <v>254</v>
      </c>
      <c r="AN4" s="159"/>
      <c r="AO4" s="159"/>
      <c r="AP4" s="159"/>
      <c r="AQ4" s="159"/>
      <c r="AR4" s="159"/>
      <c r="AS4" s="159"/>
      <c r="AT4" s="159"/>
      <c r="AU4" s="159"/>
      <c r="AV4" s="159"/>
      <c r="AW4" s="159"/>
      <c r="AX4" s="160"/>
      <c r="AY4" s="160"/>
      <c r="AZ4" s="483"/>
      <c r="BA4" s="142"/>
      <c r="BB4" s="161" t="s">
        <v>255</v>
      </c>
      <c r="BC4" s="161"/>
      <c r="BD4" s="162"/>
      <c r="BE4" s="152" t="s">
        <v>252</v>
      </c>
      <c r="BF4" s="153"/>
      <c r="BG4" s="153"/>
      <c r="BH4" s="154"/>
      <c r="BI4" s="148" t="s">
        <v>253</v>
      </c>
      <c r="BJ4" s="149"/>
      <c r="BK4" s="149"/>
      <c r="BL4" s="149"/>
      <c r="BM4" s="150"/>
      <c r="BN4" s="158" t="s">
        <v>256</v>
      </c>
      <c r="BO4" s="159"/>
      <c r="BP4" s="159"/>
      <c r="BQ4" s="159"/>
      <c r="BR4" s="159"/>
      <c r="BS4" s="160"/>
      <c r="BT4" s="163" t="s">
        <v>257</v>
      </c>
      <c r="BU4" s="164"/>
      <c r="BV4" s="165"/>
      <c r="BW4" s="165"/>
      <c r="BX4" s="165"/>
      <c r="BY4" s="165"/>
      <c r="BZ4" s="165"/>
      <c r="CA4" s="165"/>
      <c r="CB4" s="166"/>
      <c r="CC4" s="166"/>
      <c r="CD4" s="166"/>
      <c r="CE4" s="166"/>
      <c r="CF4" s="166"/>
      <c r="CG4" s="167"/>
      <c r="CH4" s="168"/>
      <c r="CI4" s="169"/>
      <c r="CJ4" s="170"/>
      <c r="CK4" s="171"/>
      <c r="CL4" s="137"/>
      <c r="CM4" s="172"/>
      <c r="CN4" s="136"/>
      <c r="CO4" s="173"/>
      <c r="CP4" s="174"/>
      <c r="CQ4" s="169"/>
      <c r="CU4" s="170"/>
      <c r="CV4" s="169"/>
      <c r="CW4" s="170"/>
      <c r="CX4" s="488"/>
      <c r="CY4" s="489"/>
      <c r="CZ4" s="490"/>
      <c r="DB4" s="137"/>
      <c r="DC4" s="142"/>
      <c r="DD4" s="143" t="s">
        <v>247</v>
      </c>
      <c r="DE4" s="175"/>
      <c r="DF4" s="175"/>
      <c r="DG4" s="175"/>
      <c r="DH4" s="145" t="s">
        <v>258</v>
      </c>
      <c r="DI4" s="146"/>
      <c r="DJ4" s="146"/>
      <c r="DK4" s="146"/>
      <c r="DL4" s="146"/>
      <c r="DM4" s="148" t="s">
        <v>249</v>
      </c>
      <c r="DN4" s="149"/>
      <c r="DO4" s="149"/>
      <c r="DP4" s="149"/>
      <c r="DQ4" s="150"/>
      <c r="DR4" s="478" t="s">
        <v>250</v>
      </c>
      <c r="DS4" s="478"/>
      <c r="DT4" s="478"/>
      <c r="DU4" s="478" t="s">
        <v>251</v>
      </c>
      <c r="DV4" s="478"/>
      <c r="DW4" s="478"/>
      <c r="DX4" s="479"/>
      <c r="DY4" s="176"/>
      <c r="DZ4" s="151"/>
      <c r="EA4" s="152" t="s">
        <v>252</v>
      </c>
      <c r="EB4" s="153"/>
      <c r="EC4" s="153"/>
      <c r="ED4" s="153"/>
      <c r="EE4" s="153"/>
      <c r="EF4" s="155" t="s">
        <v>253</v>
      </c>
      <c r="EG4" s="156"/>
      <c r="EH4" s="156"/>
      <c r="EI4" s="156"/>
      <c r="EJ4" s="157"/>
      <c r="EK4" s="158" t="s">
        <v>254</v>
      </c>
      <c r="EL4" s="159"/>
      <c r="EM4" s="159"/>
      <c r="EN4" s="159"/>
      <c r="EO4" s="159"/>
      <c r="EP4" s="159"/>
      <c r="EQ4" s="159"/>
      <c r="ER4" s="159"/>
      <c r="ES4" s="159"/>
      <c r="ET4" s="159"/>
      <c r="EU4" s="159"/>
      <c r="EV4" s="159"/>
      <c r="EW4" s="159"/>
      <c r="EX4" s="159"/>
      <c r="EY4" s="159"/>
      <c r="EZ4" s="159"/>
      <c r="FA4" s="177" t="s">
        <v>259</v>
      </c>
      <c r="FB4" s="177" t="s">
        <v>260</v>
      </c>
      <c r="FD4" s="178" t="s">
        <v>255</v>
      </c>
      <c r="FE4" s="161"/>
      <c r="FF4" s="161"/>
      <c r="FG4" s="161"/>
      <c r="FH4" s="161"/>
      <c r="FI4" s="162"/>
      <c r="FJ4" s="152" t="s">
        <v>252</v>
      </c>
      <c r="FK4" s="153"/>
      <c r="FL4" s="153"/>
      <c r="FM4" s="153"/>
      <c r="FN4" s="154"/>
      <c r="FO4" s="148" t="s">
        <v>253</v>
      </c>
      <c r="FP4" s="149"/>
      <c r="FQ4" s="149"/>
      <c r="FR4" s="149"/>
      <c r="FS4" s="149"/>
      <c r="FT4" s="150"/>
      <c r="FU4" s="158" t="s">
        <v>256</v>
      </c>
      <c r="FV4" s="159"/>
      <c r="FW4" s="159"/>
      <c r="FX4" s="159"/>
      <c r="FY4" s="159"/>
      <c r="FZ4" s="159"/>
      <c r="GA4" s="179"/>
      <c r="GB4" s="179"/>
      <c r="GC4" s="180" t="s">
        <v>261</v>
      </c>
      <c r="GD4" s="180" t="s">
        <v>260</v>
      </c>
      <c r="GE4" s="181"/>
      <c r="GF4" s="182"/>
      <c r="GG4" s="182"/>
      <c r="GH4" s="182"/>
      <c r="GI4" s="183" t="s">
        <v>262</v>
      </c>
      <c r="GJ4" s="183" t="s">
        <v>262</v>
      </c>
      <c r="GK4" s="184" t="s">
        <v>263</v>
      </c>
    </row>
    <row r="5" spans="2:871" s="210" customFormat="1" ht="183.6" x14ac:dyDescent="0.2">
      <c r="B5" s="185" t="s">
        <v>264</v>
      </c>
      <c r="C5" s="186"/>
      <c r="D5" s="187"/>
      <c r="E5" s="188" t="s">
        <v>265</v>
      </c>
      <c r="F5" s="189" t="s">
        <v>266</v>
      </c>
      <c r="G5" s="189"/>
      <c r="H5" s="190"/>
      <c r="I5" s="191"/>
      <c r="J5" s="192"/>
      <c r="K5" s="106"/>
      <c r="L5" s="192"/>
      <c r="M5" s="105" t="s">
        <v>267</v>
      </c>
      <c r="N5" s="106" t="s">
        <v>268</v>
      </c>
      <c r="O5" s="193" t="s">
        <v>269</v>
      </c>
      <c r="P5" s="194" t="s">
        <v>270</v>
      </c>
      <c r="Q5" s="180" t="s">
        <v>271</v>
      </c>
      <c r="R5" s="195" t="s">
        <v>272</v>
      </c>
      <c r="S5" s="194" t="s">
        <v>270</v>
      </c>
      <c r="T5" s="180" t="s">
        <v>271</v>
      </c>
      <c r="U5" s="195" t="s">
        <v>272</v>
      </c>
      <c r="V5" s="194" t="s">
        <v>270</v>
      </c>
      <c r="W5" s="180" t="s">
        <v>271</v>
      </c>
      <c r="X5" s="196" t="s">
        <v>272</v>
      </c>
      <c r="Y5" s="197" t="s">
        <v>273</v>
      </c>
      <c r="Z5" s="196" t="s">
        <v>274</v>
      </c>
      <c r="AA5" s="198" t="s">
        <v>275</v>
      </c>
      <c r="AB5" s="196" t="s">
        <v>272</v>
      </c>
      <c r="AC5" s="197" t="s">
        <v>276</v>
      </c>
      <c r="AD5" s="196" t="s">
        <v>274</v>
      </c>
      <c r="AE5" s="195" t="s">
        <v>272</v>
      </c>
      <c r="AF5" s="194" t="s">
        <v>277</v>
      </c>
      <c r="AG5" s="199" t="s">
        <v>278</v>
      </c>
      <c r="AH5" s="180" t="s">
        <v>271</v>
      </c>
      <c r="AI5" s="195" t="s">
        <v>279</v>
      </c>
      <c r="AJ5" s="194" t="s">
        <v>280</v>
      </c>
      <c r="AK5" s="194" t="s">
        <v>281</v>
      </c>
      <c r="AL5" s="180" t="s">
        <v>271</v>
      </c>
      <c r="AM5" s="196" t="s">
        <v>279</v>
      </c>
      <c r="AN5" s="193" t="s">
        <v>282</v>
      </c>
      <c r="AO5" s="193" t="s">
        <v>283</v>
      </c>
      <c r="AP5" s="193" t="s">
        <v>284</v>
      </c>
      <c r="AQ5" s="193" t="s">
        <v>285</v>
      </c>
      <c r="AR5" s="193" t="s">
        <v>286</v>
      </c>
      <c r="AS5" s="193" t="s">
        <v>287</v>
      </c>
      <c r="AT5" s="193" t="s">
        <v>288</v>
      </c>
      <c r="AU5" s="196" t="s">
        <v>289</v>
      </c>
      <c r="AV5" s="198" t="s">
        <v>271</v>
      </c>
      <c r="AW5" s="193" t="s">
        <v>290</v>
      </c>
      <c r="AX5" s="193" t="s">
        <v>291</v>
      </c>
      <c r="AY5" s="193" t="s">
        <v>291</v>
      </c>
      <c r="AZ5" s="484"/>
      <c r="BA5" s="200" t="s">
        <v>292</v>
      </c>
      <c r="BB5" s="201" t="s">
        <v>293</v>
      </c>
      <c r="BC5" s="202" t="s">
        <v>294</v>
      </c>
      <c r="BD5" s="198" t="s">
        <v>295</v>
      </c>
      <c r="BE5" s="195" t="s">
        <v>272</v>
      </c>
      <c r="BF5" s="194" t="s">
        <v>296</v>
      </c>
      <c r="BG5" s="199" t="s">
        <v>297</v>
      </c>
      <c r="BH5" s="180" t="s">
        <v>295</v>
      </c>
      <c r="BI5" s="195" t="s">
        <v>272</v>
      </c>
      <c r="BJ5" s="194" t="s">
        <v>298</v>
      </c>
      <c r="BK5" s="194" t="s">
        <v>299</v>
      </c>
      <c r="BL5" s="194" t="s">
        <v>300</v>
      </c>
      <c r="BM5" s="180" t="s">
        <v>295</v>
      </c>
      <c r="BN5" s="195" t="s">
        <v>279</v>
      </c>
      <c r="BO5" s="194" t="s">
        <v>301</v>
      </c>
      <c r="BP5" s="194" t="s">
        <v>302</v>
      </c>
      <c r="BQ5" s="194" t="s">
        <v>303</v>
      </c>
      <c r="BR5" s="180" t="s">
        <v>304</v>
      </c>
      <c r="BS5" s="193" t="s">
        <v>291</v>
      </c>
      <c r="BT5" s="203" t="s">
        <v>305</v>
      </c>
      <c r="BU5" s="480" t="s">
        <v>306</v>
      </c>
      <c r="BV5" s="481"/>
      <c r="BW5" s="481"/>
      <c r="BX5" s="481"/>
      <c r="BY5" s="481"/>
      <c r="BZ5" s="482"/>
      <c r="CA5" s="480" t="s">
        <v>307</v>
      </c>
      <c r="CB5" s="481"/>
      <c r="CC5" s="481"/>
      <c r="CD5" s="481"/>
      <c r="CE5" s="481"/>
      <c r="CF5" s="482"/>
      <c r="CG5" s="204" t="s">
        <v>308</v>
      </c>
      <c r="CH5" s="205" t="s">
        <v>309</v>
      </c>
      <c r="CI5" s="206" t="s">
        <v>310</v>
      </c>
      <c r="CJ5" s="206" t="s">
        <v>311</v>
      </c>
      <c r="CK5" s="207" t="s">
        <v>312</v>
      </c>
      <c r="CL5" s="206" t="s">
        <v>313</v>
      </c>
      <c r="CM5" s="206" t="s">
        <v>314</v>
      </c>
      <c r="CN5" s="207" t="s">
        <v>315</v>
      </c>
      <c r="CO5" s="204" t="s">
        <v>316</v>
      </c>
      <c r="CP5" s="139" t="s">
        <v>317</v>
      </c>
      <c r="CQ5" s="206" t="s">
        <v>318</v>
      </c>
      <c r="CR5" s="208" t="s">
        <v>319</v>
      </c>
      <c r="CS5" s="208" t="s">
        <v>320</v>
      </c>
      <c r="CT5" s="206" t="s">
        <v>321</v>
      </c>
      <c r="CU5" s="206" t="s">
        <v>322</v>
      </c>
      <c r="CV5" s="206" t="s">
        <v>323</v>
      </c>
      <c r="CW5" s="206" t="s">
        <v>324</v>
      </c>
      <c r="CX5" s="209" t="s">
        <v>325</v>
      </c>
      <c r="CY5" s="209" t="s">
        <v>326</v>
      </c>
      <c r="CZ5" s="209" t="s">
        <v>327</v>
      </c>
      <c r="DB5" s="189"/>
      <c r="DC5" s="193" t="s">
        <v>269</v>
      </c>
      <c r="DD5" s="193" t="s">
        <v>270</v>
      </c>
      <c r="DE5" s="193" t="s">
        <v>328</v>
      </c>
      <c r="DF5" s="211" t="s">
        <v>329</v>
      </c>
      <c r="DG5" s="211" t="s">
        <v>330</v>
      </c>
      <c r="DH5" s="196" t="s">
        <v>272</v>
      </c>
      <c r="DI5" s="193" t="s">
        <v>270</v>
      </c>
      <c r="DJ5" s="193" t="s">
        <v>331</v>
      </c>
      <c r="DK5" s="212" t="s">
        <v>329</v>
      </c>
      <c r="DL5" s="212" t="s">
        <v>330</v>
      </c>
      <c r="DM5" s="196" t="s">
        <v>272</v>
      </c>
      <c r="DN5" s="193" t="s">
        <v>270</v>
      </c>
      <c r="DO5" s="193" t="s">
        <v>332</v>
      </c>
      <c r="DP5" s="212" t="s">
        <v>329</v>
      </c>
      <c r="DQ5" s="212" t="s">
        <v>330</v>
      </c>
      <c r="DR5" s="196" t="s">
        <v>272</v>
      </c>
      <c r="DS5" s="197" t="s">
        <v>273</v>
      </c>
      <c r="DT5" s="196" t="s">
        <v>274</v>
      </c>
      <c r="DU5" s="196" t="s">
        <v>272</v>
      </c>
      <c r="DV5" s="197" t="s">
        <v>276</v>
      </c>
      <c r="DW5" s="213" t="s">
        <v>333</v>
      </c>
      <c r="DX5" s="196" t="s">
        <v>274</v>
      </c>
      <c r="DY5" s="212" t="s">
        <v>329</v>
      </c>
      <c r="DZ5" s="212" t="s">
        <v>330</v>
      </c>
      <c r="EA5" s="196" t="s">
        <v>272</v>
      </c>
      <c r="EB5" s="193" t="s">
        <v>277</v>
      </c>
      <c r="EC5" s="193" t="s">
        <v>278</v>
      </c>
      <c r="ED5" s="212" t="s">
        <v>329</v>
      </c>
      <c r="EE5" s="212" t="s">
        <v>330</v>
      </c>
      <c r="EF5" s="196" t="s">
        <v>279</v>
      </c>
      <c r="EG5" s="193" t="s">
        <v>280</v>
      </c>
      <c r="EH5" s="193" t="s">
        <v>281</v>
      </c>
      <c r="EI5" s="212" t="s">
        <v>329</v>
      </c>
      <c r="EJ5" s="212" t="s">
        <v>330</v>
      </c>
      <c r="EK5" s="196" t="s">
        <v>279</v>
      </c>
      <c r="EL5" s="193" t="s">
        <v>282</v>
      </c>
      <c r="EM5" s="193" t="s">
        <v>283</v>
      </c>
      <c r="EN5" s="193" t="s">
        <v>284</v>
      </c>
      <c r="EO5" s="193" t="s">
        <v>285</v>
      </c>
      <c r="EP5" s="193" t="s">
        <v>286</v>
      </c>
      <c r="EQ5" s="193" t="s">
        <v>287</v>
      </c>
      <c r="ER5" s="193" t="s">
        <v>288</v>
      </c>
      <c r="ES5" s="196" t="s">
        <v>289</v>
      </c>
      <c r="ET5" s="212" t="s">
        <v>329</v>
      </c>
      <c r="EU5" s="212" t="s">
        <v>330</v>
      </c>
      <c r="EV5" s="193" t="s">
        <v>290</v>
      </c>
      <c r="EW5" s="193" t="s">
        <v>291</v>
      </c>
      <c r="EX5" s="193" t="s">
        <v>291</v>
      </c>
      <c r="EY5" s="193" t="s">
        <v>334</v>
      </c>
      <c r="EZ5" s="193" t="s">
        <v>335</v>
      </c>
      <c r="FA5" s="214"/>
      <c r="FB5" s="214"/>
      <c r="FC5" s="215" t="s">
        <v>292</v>
      </c>
      <c r="FD5" s="216" t="s">
        <v>293</v>
      </c>
      <c r="FE5" s="217" t="s">
        <v>336</v>
      </c>
      <c r="FF5" s="218" t="s">
        <v>294</v>
      </c>
      <c r="FG5" s="218" t="s">
        <v>333</v>
      </c>
      <c r="FH5" s="212" t="s">
        <v>329</v>
      </c>
      <c r="FI5" s="212" t="s">
        <v>330</v>
      </c>
      <c r="FJ5" s="196" t="s">
        <v>272</v>
      </c>
      <c r="FK5" s="193" t="s">
        <v>337</v>
      </c>
      <c r="FL5" s="193" t="s">
        <v>338</v>
      </c>
      <c r="FM5" s="212" t="s">
        <v>329</v>
      </c>
      <c r="FN5" s="212" t="s">
        <v>330</v>
      </c>
      <c r="FO5" s="196" t="s">
        <v>339</v>
      </c>
      <c r="FP5" s="193" t="s">
        <v>340</v>
      </c>
      <c r="FQ5" s="193" t="s">
        <v>341</v>
      </c>
      <c r="FR5" s="193" t="s">
        <v>342</v>
      </c>
      <c r="FS5" s="212" t="s">
        <v>329</v>
      </c>
      <c r="FT5" s="212" t="s">
        <v>330</v>
      </c>
      <c r="FU5" s="196" t="s">
        <v>339</v>
      </c>
      <c r="FV5" s="193" t="s">
        <v>301</v>
      </c>
      <c r="FW5" s="193" t="s">
        <v>302</v>
      </c>
      <c r="FX5" s="193" t="s">
        <v>303</v>
      </c>
      <c r="FY5" s="212" t="s">
        <v>329</v>
      </c>
      <c r="FZ5" s="212" t="s">
        <v>330</v>
      </c>
      <c r="GA5" s="219" t="s">
        <v>291</v>
      </c>
      <c r="GB5" s="219" t="s">
        <v>334</v>
      </c>
      <c r="GC5" s="212"/>
      <c r="GD5" s="212"/>
      <c r="GE5" s="220" t="s">
        <v>343</v>
      </c>
      <c r="GF5" s="221" t="s">
        <v>344</v>
      </c>
      <c r="GG5" s="221" t="s">
        <v>345</v>
      </c>
      <c r="GH5" s="221" t="s">
        <v>346</v>
      </c>
      <c r="GI5" s="222" t="s">
        <v>347</v>
      </c>
      <c r="GJ5" s="222" t="s">
        <v>348</v>
      </c>
      <c r="GK5" s="222" t="s">
        <v>349</v>
      </c>
    </row>
    <row r="6" spans="2:871" customFormat="1" ht="15.75" hidden="1" customHeight="1" x14ac:dyDescent="0.2">
      <c r="B6" s="223" t="str">
        <f t="shared" ref="B6:B11" si="0">IF(GH6&gt;0,"支払済",IF(GE6="取下",GE6,IF(GE6="取消",GE6,"")))</f>
        <v>支払済</v>
      </c>
      <c r="C6" s="224" t="s">
        <v>350</v>
      </c>
      <c r="D6" s="225" t="s">
        <v>351</v>
      </c>
      <c r="E6" s="226" t="str">
        <f>IF(D6="登録","登録",IF(D5="登録","建売購入",""))</f>
        <v/>
      </c>
      <c r="F6" s="227"/>
      <c r="G6" s="227"/>
      <c r="H6" s="228">
        <v>43191</v>
      </c>
      <c r="I6" s="229" t="s">
        <v>352</v>
      </c>
      <c r="J6" s="230" t="s">
        <v>353</v>
      </c>
      <c r="K6" s="229"/>
      <c r="L6" s="230" t="s">
        <v>354</v>
      </c>
      <c r="M6" s="230" t="s">
        <v>355</v>
      </c>
      <c r="N6" s="229" t="s">
        <v>356</v>
      </c>
      <c r="O6" s="231">
        <v>35</v>
      </c>
      <c r="P6" s="231">
        <v>25</v>
      </c>
      <c r="Q6" s="232">
        <f>IF(P6&gt;=10,150,0)</f>
        <v>150</v>
      </c>
      <c r="R6" s="231">
        <f>IF(S6&gt;=1,1,"")</f>
        <v>1</v>
      </c>
      <c r="S6" s="231">
        <v>19</v>
      </c>
      <c r="T6" s="233">
        <f>IF(Q6=0,0,IF(S6&gt;=25,MIN(250,ROUNDDOWN(S6*10,-1)),IF(S6&gt;=20,MIN(200,ROUNDDOWN(S6*10,-1)),IF(S6&gt;=15,MIN(150,ROUNDDOWN(S6*10,-1)),MIN(100,ROUNDDOWN(S6*10,-1))))))</f>
        <v>150</v>
      </c>
      <c r="U6" s="231">
        <f>IF(V6&gt;=1,1,"")</f>
        <v>1</v>
      </c>
      <c r="V6" s="231">
        <v>7</v>
      </c>
      <c r="W6" s="233">
        <f>IF(AND(Q6&gt;0,V6&gt;=1),MIN(INT(V6)*20,200),0)</f>
        <v>140</v>
      </c>
      <c r="X6" s="231">
        <f>IF(Y6&gt;=1,1,"")</f>
        <v>1</v>
      </c>
      <c r="Y6" s="231">
        <v>1</v>
      </c>
      <c r="Z6" s="231">
        <f>IF(Y6&gt;=1,50,0)</f>
        <v>50</v>
      </c>
      <c r="AA6" s="232">
        <f t="shared" ref="AA6:AA10" si="1">IF(OR(AD6&gt;0,Z6&gt;0),MIN(AD6+Z6,150),0)</f>
        <v>72</v>
      </c>
      <c r="AB6" s="231">
        <f>IF(AC6&gt;=1,1,"")</f>
        <v>1</v>
      </c>
      <c r="AC6" s="231">
        <v>11</v>
      </c>
      <c r="AD6" s="231">
        <f t="shared" ref="AD6:AD10" si="2">IF(AND(Q6&gt;0,AC6&gt;=1),MIN(INT(AC6)*2,150),0)</f>
        <v>22</v>
      </c>
      <c r="AE6" s="231">
        <f>IF(OR(AF6=1,AG6=1),1,"")</f>
        <v>1</v>
      </c>
      <c r="AF6" s="231"/>
      <c r="AG6" s="231">
        <v>1</v>
      </c>
      <c r="AH6" s="232" t="e">
        <f>IF(AND(Q6&gt;0,AE6=1,#REF!=""),100,0)</f>
        <v>#REF!</v>
      </c>
      <c r="AI6" s="231">
        <f>IF(OR(AJ6=1,AK6=1),1,"")</f>
        <v>1</v>
      </c>
      <c r="AJ6" s="231">
        <v>1</v>
      </c>
      <c r="AK6" s="231"/>
      <c r="AL6" s="232">
        <f t="shared" ref="AL6:AL10" si="3">IF(AND(Q6&gt;0,AE6=1,AI6=1),100,0)</f>
        <v>100</v>
      </c>
      <c r="AM6" s="231">
        <f>IF(AU6&gt;=4,1,"")</f>
        <v>1</v>
      </c>
      <c r="AN6" s="231"/>
      <c r="AO6" s="231"/>
      <c r="AP6" s="231">
        <v>1</v>
      </c>
      <c r="AQ6" s="231">
        <v>2</v>
      </c>
      <c r="AR6" s="231"/>
      <c r="AS6" s="231">
        <v>1</v>
      </c>
      <c r="AT6" s="231">
        <v>1</v>
      </c>
      <c r="AU6" s="231">
        <f>SUM(AN6:AT6)</f>
        <v>5</v>
      </c>
      <c r="AV6" s="232">
        <f>IF(AU6&gt;=4,200,0)</f>
        <v>200</v>
      </c>
      <c r="AW6" s="234" t="s">
        <v>357</v>
      </c>
      <c r="AX6" s="234" t="s">
        <v>358</v>
      </c>
      <c r="AY6" s="234" t="s">
        <v>358</v>
      </c>
      <c r="AZ6" s="232" t="e">
        <f>IF(OR(D6="新築",D6="登録"),MIN(1000,Q6+T6+W6+AA6+AH6+AL6+AV6),0)</f>
        <v>#REF!</v>
      </c>
      <c r="BA6" s="234"/>
      <c r="BB6" s="235"/>
      <c r="BC6" s="234"/>
      <c r="BD6" s="232">
        <f>MIN(ROUNDDOWN(BB6,1)*20+INT(BC6)*2,250)</f>
        <v>0</v>
      </c>
      <c r="BE6" s="231" t="str">
        <f>IF(OR(BF6=1,BG6=1),1,"")</f>
        <v/>
      </c>
      <c r="BF6" s="234"/>
      <c r="BG6" s="234"/>
      <c r="BH6" s="232" t="e">
        <f>IF(AND(BD6&gt;0,BE6=1,#REF!=""),100,0)</f>
        <v>#REF!</v>
      </c>
      <c r="BI6" s="231" t="str">
        <f>IF(OR(BJ6=1,BK6=1,BL6=1),1,"")</f>
        <v/>
      </c>
      <c r="BJ6" s="234"/>
      <c r="BK6" s="234"/>
      <c r="BL6" s="234"/>
      <c r="BM6" s="232">
        <f>IF(AND(BD6&gt;0,BI6=1),100,IF(AND(BD6&gt;0,BL6=1),100,0))</f>
        <v>0</v>
      </c>
      <c r="BN6" s="231" t="str">
        <f>IF(OR(AND(BO6&gt;=7,BP6&gt;=7,BO6+BP6&gt;=14),AND(BO6&gt;=7,BQ6&gt;=3,BO6+BQ6&gt;=10),AND(BP6&gt;=7,BQ6&gt;=3,BP6+BQ6&gt;=10)),1,"")</f>
        <v/>
      </c>
      <c r="BO6" s="234"/>
      <c r="BP6" s="234"/>
      <c r="BQ6" s="234"/>
      <c r="BR6" s="232">
        <f>IF(AND(BN6=1,BD6&gt;0),MIN(150,ROUNDDOWN(BO6*11+BP6*13+BQ6*19,0)),0)</f>
        <v>0</v>
      </c>
      <c r="BS6" s="234"/>
      <c r="BT6" s="232">
        <f>IF(D6="改修",MIN(500,BD6+BH6+BM6+BR6,INT(CM6*10/2)),0)</f>
        <v>0</v>
      </c>
      <c r="BU6" s="236"/>
      <c r="BV6" s="237" t="s">
        <v>9</v>
      </c>
      <c r="BW6" s="238"/>
      <c r="BX6" s="237" t="s">
        <v>359</v>
      </c>
      <c r="BY6" s="238"/>
      <c r="BZ6" s="239" t="s">
        <v>8</v>
      </c>
      <c r="CA6" s="236"/>
      <c r="CB6" s="237" t="s">
        <v>9</v>
      </c>
      <c r="CC6" s="238"/>
      <c r="CD6" s="237" t="s">
        <v>359</v>
      </c>
      <c r="CE6" s="238"/>
      <c r="CF6" s="239" t="s">
        <v>8</v>
      </c>
      <c r="CG6" s="228">
        <v>43200</v>
      </c>
      <c r="CH6" s="240" t="e">
        <f>AZ6+BT6</f>
        <v>#REF!</v>
      </c>
      <c r="CI6" s="229" t="s">
        <v>360</v>
      </c>
      <c r="CJ6" s="229" t="s">
        <v>361</v>
      </c>
      <c r="CK6" s="225" t="s">
        <v>362</v>
      </c>
      <c r="CL6" s="229">
        <v>120</v>
      </c>
      <c r="CM6" s="241">
        <v>2500</v>
      </c>
      <c r="CN6" s="230" t="s">
        <v>363</v>
      </c>
      <c r="CO6" s="228"/>
      <c r="CP6" s="227"/>
      <c r="CQ6" s="227"/>
      <c r="CR6" s="228"/>
      <c r="CS6" s="228"/>
      <c r="CT6" s="227"/>
      <c r="CU6" s="227"/>
      <c r="CV6" s="227"/>
      <c r="CW6" s="227"/>
      <c r="CX6" s="227"/>
      <c r="CY6" s="227"/>
      <c r="CZ6" s="227"/>
      <c r="DB6" s="227"/>
      <c r="DC6" s="231">
        <v>30</v>
      </c>
      <c r="DD6" s="231">
        <v>25</v>
      </c>
      <c r="DE6" s="234" t="s">
        <v>364</v>
      </c>
      <c r="DF6" s="232">
        <f t="shared" ref="DF6:DF10" si="4">IF(DD6&gt;=10,150,0)</f>
        <v>150</v>
      </c>
      <c r="DG6" s="232">
        <f>MIN(Q6,DF6)</f>
        <v>150</v>
      </c>
      <c r="DH6" s="231">
        <f>IF(DI6&gt;=1,1,"")</f>
        <v>1</v>
      </c>
      <c r="DI6" s="231">
        <v>18</v>
      </c>
      <c r="DJ6" s="234" t="s">
        <v>364</v>
      </c>
      <c r="DK6" s="233">
        <f>IF(DF6=0,0,IF(DI6&gt;=25,MIN(250,ROUNDDOWN(DI6*10,-1)),IF(DI6&gt;=20,MIN(200,ROUNDDOWN(DI6*10,-1)),IF(DI6&gt;=15,MIN(150,ROUNDDOWN(DI6*10,-1)),MIN(100,ROUNDDOWN(DI6*10,-1))))))</f>
        <v>150</v>
      </c>
      <c r="DL6" s="232">
        <f>MIN(T6,DK6)</f>
        <v>150</v>
      </c>
      <c r="DM6" s="231">
        <f>IF(DN6&gt;=1,1,"")</f>
        <v>1</v>
      </c>
      <c r="DN6" s="231">
        <v>10</v>
      </c>
      <c r="DO6" s="234" t="s">
        <v>365</v>
      </c>
      <c r="DP6" s="233">
        <f>IF(AND(DF6&gt;0,DN6&gt;=1),MIN(INT(DN6)*20,200),0)</f>
        <v>200</v>
      </c>
      <c r="DQ6" s="232">
        <f>MIN(W6,DP6)</f>
        <v>140</v>
      </c>
      <c r="DR6" s="231" t="str">
        <f>IF(DS6&gt;=1,1,"")</f>
        <v/>
      </c>
      <c r="DS6" s="231"/>
      <c r="DT6" s="231">
        <f t="shared" ref="DT6:DT10" si="5">IF(AND(DS6&gt;=1,DF6&gt;=1),50,0)</f>
        <v>0</v>
      </c>
      <c r="DU6" s="231">
        <f>IF(DV6&gt;=1,1,"")</f>
        <v>1</v>
      </c>
      <c r="DV6" s="231">
        <v>15</v>
      </c>
      <c r="DW6" s="234" t="s">
        <v>366</v>
      </c>
      <c r="DX6" s="231">
        <f>IF(AND(DF6&gt;0,DV6&gt;=1),MIN(INT(DV6)*2,150),0)</f>
        <v>30</v>
      </c>
      <c r="DY6" s="232">
        <f t="shared" ref="DY6:DY10" si="6">IF(OR(DX6&gt;0,DT6&gt;0),MIN(DX6+DT6,150),0)</f>
        <v>30</v>
      </c>
      <c r="DZ6" s="232">
        <f>MIN(AA6,DY6)</f>
        <v>30</v>
      </c>
      <c r="EA6" s="231">
        <f>IF(OR(EB6=1,EC6=1),1,"")</f>
        <v>1</v>
      </c>
      <c r="EB6" s="231">
        <v>1</v>
      </c>
      <c r="EC6" s="231"/>
      <c r="ED6" s="232" t="e">
        <f>IF(AND(DF6&gt;0,EA6=1,#REF!=""),100,0)</f>
        <v>#REF!</v>
      </c>
      <c r="EE6" s="232" t="e">
        <f>MIN(AH6,ED6)</f>
        <v>#REF!</v>
      </c>
      <c r="EF6" s="231">
        <f>IF(OR(EG6=1,EH6=1),1,"")</f>
        <v>1</v>
      </c>
      <c r="EG6" s="231">
        <v>1</v>
      </c>
      <c r="EH6" s="231"/>
      <c r="EI6" s="232">
        <f t="shared" ref="EI6:EI10" si="7">IF(AND(DF6&gt;0,EA6=1,EF6=1),100,0)</f>
        <v>100</v>
      </c>
      <c r="EJ6" s="232">
        <f>MIN(AL6,EI6)</f>
        <v>100</v>
      </c>
      <c r="EK6" s="231">
        <f>IF(ES6&gt;=4,1,"")</f>
        <v>1</v>
      </c>
      <c r="EL6" s="231"/>
      <c r="EM6" s="231"/>
      <c r="EN6" s="231"/>
      <c r="EO6" s="231">
        <v>2</v>
      </c>
      <c r="EP6" s="231"/>
      <c r="EQ6" s="231">
        <v>1</v>
      </c>
      <c r="ER6" s="231">
        <v>1</v>
      </c>
      <c r="ES6" s="231">
        <f>SUM(EL6:ER6)</f>
        <v>4</v>
      </c>
      <c r="ET6" s="232">
        <f>IF(ES6&gt;=4,200,0)</f>
        <v>200</v>
      </c>
      <c r="EU6" s="232">
        <f>MIN(AV6,ET6)</f>
        <v>200</v>
      </c>
      <c r="EV6" s="234" t="s">
        <v>357</v>
      </c>
      <c r="EW6" s="234"/>
      <c r="EX6" s="234"/>
      <c r="EY6" s="234"/>
      <c r="EZ6" s="234" t="s">
        <v>367</v>
      </c>
      <c r="FA6" s="232" t="e">
        <f>IF(D6="新築",MIN(1500,CH6,MIN(DG6+DL6+DQ6+DZ6+EE6+EJ6+EU6,1000)),0)</f>
        <v>#REF!</v>
      </c>
      <c r="FB6" s="232" t="e">
        <f t="shared" ref="FB6:FB10" si="8">AZ6-FA6</f>
        <v>#REF!</v>
      </c>
      <c r="FC6" s="234"/>
      <c r="FD6" s="242"/>
      <c r="FE6" s="242"/>
      <c r="FF6" s="234"/>
      <c r="FG6" s="234"/>
      <c r="FH6" s="232">
        <f>MIN(ROUNDDOWN(FD6,1)*20+INT(FF6)*2,250)</f>
        <v>0</v>
      </c>
      <c r="FI6" s="232">
        <f t="shared" ref="FI6:FI10" si="9">MIN(BD6,FH6)</f>
        <v>0</v>
      </c>
      <c r="FJ6" s="231" t="str">
        <f>IF(OR(FK6=1,FL6=1),1,"")</f>
        <v/>
      </c>
      <c r="FK6" s="234"/>
      <c r="FL6" s="234"/>
      <c r="FM6" s="232" t="e">
        <f>IF(AND(FH6&gt;0,FJ6=1,#REF!=""),100,0)</f>
        <v>#REF!</v>
      </c>
      <c r="FN6" s="232" t="e">
        <f t="shared" ref="FN6:FN10" si="10">MIN(BH6,FM6)</f>
        <v>#REF!</v>
      </c>
      <c r="FO6" s="231" t="str">
        <f>IF(OR(FP6=1,FQ6=1,FR6=1),1,"")</f>
        <v/>
      </c>
      <c r="FP6" s="234"/>
      <c r="FQ6" s="234"/>
      <c r="FR6" s="234"/>
      <c r="FS6" s="232">
        <f>IF(AND(FH6&gt;0,FO6=1),100,IF(AND(FH6&gt;0,FR6=1),100,0))</f>
        <v>0</v>
      </c>
      <c r="FT6" s="232">
        <f t="shared" ref="FT6:FT10" si="11">MIN(BM6,FS6)</f>
        <v>0</v>
      </c>
      <c r="FU6" s="231" t="str">
        <f>IF(OR(AND(FV6&gt;=7,FW6&gt;=7,FV6+FW6&gt;=14),AND(FV6&gt;=7,FX6&gt;=3,FV6+FX6&gt;=10),AND(FW6&gt;=7,FX6&gt;=3,FW6+FX6&gt;=10)),1,"")</f>
        <v/>
      </c>
      <c r="FV6" s="234"/>
      <c r="FW6" s="234"/>
      <c r="FX6" s="234"/>
      <c r="FY6" s="232">
        <f>IF(AND(FU6=1,FH6&gt;0),MIN(150,ROUNDDOWN(FV6*11+FW6*13+FX6*19,0)),0)</f>
        <v>0</v>
      </c>
      <c r="FZ6" s="232">
        <f t="shared" ref="FZ6:FZ10" si="12">MIN(BR6,FY6)</f>
        <v>0</v>
      </c>
      <c r="GA6" s="234"/>
      <c r="GB6" s="234"/>
      <c r="GC6" s="232">
        <f>IF(D6="改修",MIN(500,FI6+FN6+FT6+FZ6,INT(CM6*10/2)),0)</f>
        <v>0</v>
      </c>
      <c r="GD6" s="232">
        <f t="shared" ref="GD6:GD10" si="13">BT6-GC6</f>
        <v>0</v>
      </c>
      <c r="GE6" s="227" t="s">
        <v>368</v>
      </c>
      <c r="GF6" s="228">
        <v>43374</v>
      </c>
      <c r="GG6" s="228">
        <v>43378</v>
      </c>
      <c r="GH6" s="228">
        <v>43391</v>
      </c>
      <c r="GI6" s="240" t="e">
        <f>IF(D6="新築",AZ6,IF(D6="改修",BT6,0))</f>
        <v>#REF!</v>
      </c>
      <c r="GJ6" s="240" t="e">
        <f t="shared" ref="GJ6:GJ11" si="14">IF(D6="新築",FA6,IF(D6="改修",GC6,0))</f>
        <v>#REF!</v>
      </c>
      <c r="GK6" s="240" t="e">
        <f>GI6-GJ6</f>
        <v>#REF!</v>
      </c>
    </row>
    <row r="7" spans="2:871" s="243" customFormat="1" hidden="1" x14ac:dyDescent="0.2">
      <c r="B7" s="223" t="str">
        <f t="shared" si="0"/>
        <v>支払済</v>
      </c>
      <c r="C7" s="224" t="s">
        <v>369</v>
      </c>
      <c r="D7" s="225" t="s">
        <v>370</v>
      </c>
      <c r="E7" s="226" t="str">
        <f t="shared" ref="E7:E11" si="15">IF(D7="登録","登録",IF(D6="登録","建売購入",""))</f>
        <v/>
      </c>
      <c r="F7" s="227"/>
      <c r="G7" s="227"/>
      <c r="H7" s="228">
        <v>43191</v>
      </c>
      <c r="I7" s="229" t="s">
        <v>371</v>
      </c>
      <c r="J7" s="230" t="s">
        <v>372</v>
      </c>
      <c r="K7" s="229"/>
      <c r="L7" s="230" t="s">
        <v>373</v>
      </c>
      <c r="M7" s="230" t="s">
        <v>99</v>
      </c>
      <c r="N7" s="229" t="s">
        <v>374</v>
      </c>
      <c r="O7" s="234"/>
      <c r="P7" s="234"/>
      <c r="Q7" s="232">
        <f>IF(P7&gt;=10,150,0)</f>
        <v>0</v>
      </c>
      <c r="R7" s="231" t="str">
        <f>IF(S7&gt;=1,1,"")</f>
        <v/>
      </c>
      <c r="S7" s="234"/>
      <c r="T7" s="233">
        <f>IF(Q7=0,0,IF(S7&gt;=25,MIN(250,ROUNDDOWN(S7*10,-1)),IF(S7&gt;=20,MIN(200,ROUNDDOWN(S7*10,-1)),IF(S7&gt;=15,MIN(150,ROUNDDOWN(S7*10,-1)),MIN(100,ROUNDDOWN(S7*10,-1))))))</f>
        <v>0</v>
      </c>
      <c r="U7" s="231" t="str">
        <f>IF(V7&gt;=1,1,"")</f>
        <v/>
      </c>
      <c r="V7" s="234"/>
      <c r="W7" s="233">
        <f>IF(AND(Q7&gt;0,V7&gt;=1),MIN(INT(V7)*20,200),0)</f>
        <v>0</v>
      </c>
      <c r="X7" s="231" t="str">
        <f>IF(Y7&gt;=1,1,"")</f>
        <v/>
      </c>
      <c r="Y7" s="234"/>
      <c r="Z7" s="231">
        <f>IF(Y7&gt;=1,50,0)</f>
        <v>0</v>
      </c>
      <c r="AA7" s="232">
        <f t="shared" si="1"/>
        <v>0</v>
      </c>
      <c r="AB7" s="231" t="str">
        <f>IF(AC7&gt;=1,1,"")</f>
        <v/>
      </c>
      <c r="AC7" s="234"/>
      <c r="AD7" s="231">
        <f t="shared" si="2"/>
        <v>0</v>
      </c>
      <c r="AE7" s="231" t="str">
        <f>IF(OR(AF7=1,AG7=1),1,"")</f>
        <v/>
      </c>
      <c r="AF7" s="234"/>
      <c r="AG7" s="234"/>
      <c r="AH7" s="232" t="e">
        <f>IF(AND(Q7&gt;0,AE7=1,#REF!=""),100,0)</f>
        <v>#REF!</v>
      </c>
      <c r="AI7" s="231" t="str">
        <f>IF(OR(AJ7=1,AK7=1),1,"")</f>
        <v/>
      </c>
      <c r="AJ7" s="234"/>
      <c r="AK7" s="234"/>
      <c r="AL7" s="232">
        <f t="shared" si="3"/>
        <v>0</v>
      </c>
      <c r="AM7" s="231" t="str">
        <f>IF(AU7&gt;=4,1,"")</f>
        <v/>
      </c>
      <c r="AN7" s="234"/>
      <c r="AO7" s="234"/>
      <c r="AP7" s="234"/>
      <c r="AQ7" s="234"/>
      <c r="AR7" s="234"/>
      <c r="AS7" s="234"/>
      <c r="AT7" s="234"/>
      <c r="AU7" s="231">
        <f>SUM(AN7:AT7)</f>
        <v>0</v>
      </c>
      <c r="AV7" s="232">
        <f>IF(AU7&gt;=4,200,0)</f>
        <v>0</v>
      </c>
      <c r="AW7" s="234"/>
      <c r="AX7" s="234"/>
      <c r="AY7" s="234"/>
      <c r="AZ7" s="232">
        <f>IF(OR(D7="新築",D7="登録"),MIN(1000,Q7+T7+W7+AA7+AH7+AL7+AV7),0)</f>
        <v>0</v>
      </c>
      <c r="BA7" s="234">
        <v>5</v>
      </c>
      <c r="BB7" s="235">
        <v>3</v>
      </c>
      <c r="BC7" s="234">
        <v>10</v>
      </c>
      <c r="BD7" s="232">
        <f>MIN(ROUNDDOWN(BB7,1)*20+INT(BC7)*2,250)</f>
        <v>80</v>
      </c>
      <c r="BE7" s="231">
        <f>IF(OR(BF7=1,BG7=1),1,"")</f>
        <v>1</v>
      </c>
      <c r="BF7" s="234">
        <v>1</v>
      </c>
      <c r="BG7" s="234"/>
      <c r="BH7" s="232" t="e">
        <f>IF(AND(BD7&gt;0,BE7=1,#REF!=""),100,0)</f>
        <v>#REF!</v>
      </c>
      <c r="BI7" s="231" t="str">
        <f>IF(OR(BJ7=1,BK7=1,BL7=1),1,"")</f>
        <v/>
      </c>
      <c r="BJ7" s="234"/>
      <c r="BK7" s="234"/>
      <c r="BL7" s="234"/>
      <c r="BM7" s="232">
        <f>IF(AND(BD7&gt;0,BI7=1),100,IF(AND(BD7&gt;0,BL7=1),100,0))</f>
        <v>0</v>
      </c>
      <c r="BN7" s="231">
        <f>IF(OR(AND(BO7&gt;=7,BP7&gt;=7,BO7+BP7&gt;=14),AND(BO7&gt;=7,BQ7&gt;=3,BO7+BQ7&gt;=10),AND(BP7&gt;=7,BQ7&gt;=3,BP7+BQ7&gt;=10)),1,"")</f>
        <v>1</v>
      </c>
      <c r="BO7" s="234">
        <v>7</v>
      </c>
      <c r="BP7" s="234"/>
      <c r="BQ7" s="234">
        <v>3</v>
      </c>
      <c r="BR7" s="232">
        <f>IF(AND(BN7=1,BD7&gt;0),MIN(150,ROUNDDOWN(BO7*11+BP7*13+BQ7*19,0)),0)</f>
        <v>134</v>
      </c>
      <c r="BS7" s="234"/>
      <c r="BT7" s="232" t="e">
        <f>IF(D7="改修",MIN(500,BD7+BH7+BM7+BR7,INT(CM7*10/2)),0)</f>
        <v>#REF!</v>
      </c>
      <c r="BU7" s="236"/>
      <c r="BV7" s="237" t="s">
        <v>9</v>
      </c>
      <c r="BW7" s="238"/>
      <c r="BX7" s="237" t="s">
        <v>359</v>
      </c>
      <c r="BY7" s="238"/>
      <c r="BZ7" s="239" t="s">
        <v>8</v>
      </c>
      <c r="CA7" s="236"/>
      <c r="CB7" s="237" t="s">
        <v>9</v>
      </c>
      <c r="CC7" s="238"/>
      <c r="CD7" s="237" t="s">
        <v>359</v>
      </c>
      <c r="CE7" s="238"/>
      <c r="CF7" s="239" t="s">
        <v>8</v>
      </c>
      <c r="CG7" s="228">
        <v>43205</v>
      </c>
      <c r="CH7" s="240" t="e">
        <f t="shared" ref="CH7:CH10" si="16">AZ7+BT7</f>
        <v>#REF!</v>
      </c>
      <c r="CI7" s="229" t="s">
        <v>360</v>
      </c>
      <c r="CJ7" s="229" t="s">
        <v>361</v>
      </c>
      <c r="CK7" s="225" t="s">
        <v>375</v>
      </c>
      <c r="CL7" s="229">
        <v>200</v>
      </c>
      <c r="CM7" s="241">
        <v>300</v>
      </c>
      <c r="CN7" s="230" t="s">
        <v>376</v>
      </c>
      <c r="CO7" s="228"/>
      <c r="CP7" s="227"/>
      <c r="CQ7" s="227"/>
      <c r="CR7" s="228"/>
      <c r="CS7" s="228"/>
      <c r="CT7" s="227"/>
      <c r="CU7" s="227"/>
      <c r="CV7" s="227"/>
      <c r="CW7" s="227"/>
      <c r="CX7" s="227"/>
      <c r="CY7" s="227"/>
      <c r="CZ7" s="227"/>
      <c r="DA7"/>
      <c r="DB7" s="227"/>
      <c r="DC7" s="234"/>
      <c r="DD7" s="234"/>
      <c r="DE7" s="234"/>
      <c r="DF7" s="232">
        <f t="shared" si="4"/>
        <v>0</v>
      </c>
      <c r="DG7" s="232">
        <f>MIN(Q7,DF7)</f>
        <v>0</v>
      </c>
      <c r="DH7" s="231" t="str">
        <f t="shared" ref="DH7:DH10" si="17">IF(DI7&gt;=1,1,"")</f>
        <v/>
      </c>
      <c r="DI7" s="234"/>
      <c r="DJ7" s="234"/>
      <c r="DK7" s="233">
        <f t="shared" ref="DK7:DK10" si="18">IF(DF7=0,0,IF(DI7&gt;=25,MIN(250,ROUNDDOWN(DI7*10,-1)),IF(DI7&gt;=20,MIN(200,ROUNDDOWN(DI7*10,-1)),IF(DI7&gt;=15,MIN(150,ROUNDDOWN(DI7*10,-1)),MIN(100,ROUNDDOWN(DI7*10,-1))))))</f>
        <v>0</v>
      </c>
      <c r="DL7" s="232">
        <f>MIN(T7,DK7)</f>
        <v>0</v>
      </c>
      <c r="DM7" s="231" t="str">
        <f t="shared" ref="DM7:DM10" si="19">IF(DN7&gt;=1,1,"")</f>
        <v/>
      </c>
      <c r="DN7" s="234"/>
      <c r="DO7" s="234"/>
      <c r="DP7" s="233">
        <f t="shared" ref="DP7:DP10" si="20">IF(AND(DF7&gt;0,DN7&gt;=1),MIN(INT(DN7)*20,200),0)</f>
        <v>0</v>
      </c>
      <c r="DQ7" s="232">
        <f>MIN(W7,DP7)</f>
        <v>0</v>
      </c>
      <c r="DR7" s="231" t="str">
        <f t="shared" ref="DR7:DR10" si="21">IF(DS7&gt;=1,1,"")</f>
        <v/>
      </c>
      <c r="DS7" s="234"/>
      <c r="DT7" s="231">
        <f t="shared" si="5"/>
        <v>0</v>
      </c>
      <c r="DU7" s="231" t="str">
        <f t="shared" ref="DU7:DU10" si="22">IF(DV7&gt;=1,1,"")</f>
        <v/>
      </c>
      <c r="DV7" s="234"/>
      <c r="DW7" s="234"/>
      <c r="DX7" s="231">
        <f t="shared" ref="DX7:DX10" si="23">IF(AND(DF7&gt;0,DV7&gt;=1),MIN(INT(DV7)*2,150),0)</f>
        <v>0</v>
      </c>
      <c r="DY7" s="232">
        <f t="shared" si="6"/>
        <v>0</v>
      </c>
      <c r="DZ7" s="232">
        <f>MIN(AA7,DY7)</f>
        <v>0</v>
      </c>
      <c r="EA7" s="231" t="str">
        <f t="shared" ref="EA7:EA10" si="24">IF(OR(EB7=1,EC7=1),1,"")</f>
        <v/>
      </c>
      <c r="EB7" s="234"/>
      <c r="EC7" s="234"/>
      <c r="ED7" s="232" t="e">
        <f>IF(AND(DF7&gt;0,EA7=1,#REF!=""),100,0)</f>
        <v>#REF!</v>
      </c>
      <c r="EE7" s="232" t="e">
        <f>MIN(AH7,ED7)</f>
        <v>#REF!</v>
      </c>
      <c r="EF7" s="231" t="str">
        <f t="shared" ref="EF7:EF10" si="25">IF(OR(EG7=1,EH7=1),1,"")</f>
        <v/>
      </c>
      <c r="EG7" s="234"/>
      <c r="EH7" s="234"/>
      <c r="EI7" s="232">
        <f t="shared" si="7"/>
        <v>0</v>
      </c>
      <c r="EJ7" s="232">
        <f>MIN(AL7,EI7)</f>
        <v>0</v>
      </c>
      <c r="EK7" s="231" t="str">
        <f t="shared" ref="EK7:EK10" si="26">IF(ES7&gt;=4,1,"")</f>
        <v/>
      </c>
      <c r="EL7" s="234"/>
      <c r="EM7" s="234"/>
      <c r="EN7" s="234"/>
      <c r="EO7" s="234"/>
      <c r="EP7" s="234"/>
      <c r="EQ7" s="234"/>
      <c r="ER7" s="234"/>
      <c r="ES7" s="231">
        <f t="shared" ref="ES7:ES10" si="27">SUM(EL7:ER7)</f>
        <v>0</v>
      </c>
      <c r="ET7" s="232">
        <f t="shared" ref="ET7:ET10" si="28">IF(ES7&gt;=4,200,0)</f>
        <v>0</v>
      </c>
      <c r="EU7" s="232">
        <f>MIN(AV7,ET7)</f>
        <v>0</v>
      </c>
      <c r="EV7" s="234"/>
      <c r="EW7" s="234"/>
      <c r="EX7" s="234"/>
      <c r="EY7" s="234"/>
      <c r="EZ7" s="234"/>
      <c r="FA7" s="232">
        <f>IF(D7="新築",MIN(1500,CH7,MIN(DG7+DL7+DQ7+DZ7+EE7+EJ7+EU7,1000)),0)</f>
        <v>0</v>
      </c>
      <c r="FB7" s="232">
        <f t="shared" si="8"/>
        <v>0</v>
      </c>
      <c r="FC7" s="234">
        <v>5</v>
      </c>
      <c r="FD7" s="242">
        <v>3</v>
      </c>
      <c r="FE7" s="242" t="s">
        <v>377</v>
      </c>
      <c r="FF7" s="234">
        <v>8</v>
      </c>
      <c r="FG7" s="234" t="s">
        <v>378</v>
      </c>
      <c r="FH7" s="232">
        <f t="shared" ref="FH7:FH10" si="29">MIN(ROUNDDOWN(FD7,1)*20+INT(FF7)*2,250)</f>
        <v>76</v>
      </c>
      <c r="FI7" s="232">
        <f t="shared" si="9"/>
        <v>76</v>
      </c>
      <c r="FJ7" s="231">
        <f t="shared" ref="FJ7:FJ10" si="30">IF(OR(FK7=1,FL7=1),1,"")</f>
        <v>1</v>
      </c>
      <c r="FK7" s="234">
        <v>1</v>
      </c>
      <c r="FL7" s="234"/>
      <c r="FM7" s="232" t="e">
        <f>IF(AND(FH7&gt;0,FJ7=1,#REF!=""),100,0)</f>
        <v>#REF!</v>
      </c>
      <c r="FN7" s="232" t="e">
        <f t="shared" si="10"/>
        <v>#REF!</v>
      </c>
      <c r="FO7" s="231" t="str">
        <f t="shared" ref="FO7:FO10" si="31">IF(OR(FP7=1,FQ7=1,FR7=1),1,"")</f>
        <v/>
      </c>
      <c r="FP7" s="234"/>
      <c r="FQ7" s="234"/>
      <c r="FR7" s="234"/>
      <c r="FS7" s="232">
        <f t="shared" ref="FS7:FS10" si="32">IF(AND(FH7&gt;0,FO7=1),100,IF(AND(FH7&gt;0,FR7=1),100,0))</f>
        <v>0</v>
      </c>
      <c r="FT7" s="232">
        <f t="shared" si="11"/>
        <v>0</v>
      </c>
      <c r="FU7" s="231">
        <f t="shared" ref="FU7:FU10" si="33">IF(OR(AND(FV7&gt;=7,FW7&gt;=7,FV7+FW7&gt;=14),AND(FV7&gt;=7,FX7&gt;=3,FV7+FX7&gt;=10),AND(FW7&gt;=7,FX7&gt;=3,FW7+FX7&gt;=10)),1,"")</f>
        <v>1</v>
      </c>
      <c r="FV7" s="234">
        <v>7</v>
      </c>
      <c r="FW7" s="234"/>
      <c r="FX7" s="234">
        <v>3</v>
      </c>
      <c r="FY7" s="232">
        <f t="shared" ref="FY7:FY11" si="34">IF(AND(FU7=1,FH7&gt;0),MIN(150,ROUNDDOWN(FV7*11+FW7*13+FX7*19,0)),0)</f>
        <v>134</v>
      </c>
      <c r="FZ7" s="232">
        <f t="shared" si="12"/>
        <v>134</v>
      </c>
      <c r="GA7" s="234"/>
      <c r="GB7" s="234" t="s">
        <v>379</v>
      </c>
      <c r="GC7" s="232" t="e">
        <f>IF(D7="改修",MIN(500,FI7+FN7+FT7+FZ7,INT(CM7*10/2)),0)</f>
        <v>#REF!</v>
      </c>
      <c r="GD7" s="232" t="e">
        <f t="shared" si="13"/>
        <v>#REF!</v>
      </c>
      <c r="GE7" s="227" t="s">
        <v>368</v>
      </c>
      <c r="GF7" s="228">
        <v>43332</v>
      </c>
      <c r="GG7" s="228">
        <v>43343</v>
      </c>
      <c r="GH7" s="228">
        <v>43358</v>
      </c>
      <c r="GI7" s="240" t="e">
        <f>IF(D7="新築",AZ7,IF(D7="改修",BT7,0))</f>
        <v>#REF!</v>
      </c>
      <c r="GJ7" s="240" t="e">
        <f t="shared" si="14"/>
        <v>#REF!</v>
      </c>
      <c r="GK7" s="240" t="e">
        <f t="shared" ref="GK7:GK10" si="35">GI7-GJ7</f>
        <v>#REF!</v>
      </c>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c r="IW7" s="92"/>
      <c r="IX7" s="92"/>
      <c r="IY7" s="92"/>
      <c r="IZ7" s="92"/>
      <c r="JA7" s="92"/>
      <c r="JB7" s="92"/>
      <c r="JC7" s="92"/>
      <c r="JD7" s="92"/>
      <c r="JE7" s="92"/>
      <c r="JF7" s="92"/>
      <c r="JG7" s="92"/>
      <c r="JH7" s="92"/>
      <c r="JI7" s="92"/>
      <c r="JJ7" s="92"/>
      <c r="JK7" s="92"/>
      <c r="JL7" s="92"/>
      <c r="JM7" s="92"/>
      <c r="JN7" s="92"/>
      <c r="JO7" s="92"/>
      <c r="JP7" s="92"/>
      <c r="JQ7" s="92"/>
      <c r="JR7" s="92"/>
      <c r="JS7" s="92"/>
      <c r="JT7" s="92"/>
      <c r="JU7" s="92"/>
      <c r="JV7" s="92"/>
      <c r="JW7" s="92"/>
      <c r="JX7" s="92"/>
      <c r="JY7" s="92"/>
      <c r="JZ7" s="92"/>
      <c r="KA7" s="92"/>
      <c r="KB7" s="92"/>
      <c r="KC7" s="92"/>
      <c r="KD7" s="92"/>
      <c r="KE7" s="92"/>
      <c r="KF7" s="92"/>
      <c r="KG7" s="92"/>
      <c r="KH7" s="92"/>
      <c r="KI7" s="92"/>
      <c r="KJ7" s="92"/>
      <c r="KK7" s="92"/>
      <c r="KL7" s="92"/>
      <c r="KM7" s="92"/>
      <c r="KN7" s="92"/>
      <c r="KO7" s="92"/>
      <c r="KP7" s="92"/>
      <c r="KQ7" s="92"/>
      <c r="KR7" s="92"/>
      <c r="KS7" s="92"/>
      <c r="KT7" s="92"/>
      <c r="KU7" s="92"/>
      <c r="KV7" s="92"/>
      <c r="KW7" s="92"/>
      <c r="KX7" s="92"/>
      <c r="KY7" s="92"/>
      <c r="KZ7" s="92"/>
      <c r="LA7" s="92"/>
      <c r="LB7" s="92"/>
      <c r="LC7" s="92"/>
      <c r="LD7" s="92"/>
      <c r="LE7" s="92"/>
      <c r="LF7" s="92"/>
      <c r="LG7" s="92"/>
      <c r="LH7" s="92"/>
      <c r="LI7" s="92"/>
      <c r="LJ7" s="92"/>
      <c r="LK7" s="92"/>
      <c r="LL7" s="92"/>
      <c r="LM7" s="92"/>
      <c r="LN7" s="92"/>
      <c r="LO7" s="92"/>
      <c r="LP7" s="92"/>
      <c r="LQ7" s="92"/>
      <c r="LR7" s="92"/>
      <c r="LS7" s="92"/>
      <c r="LT7" s="92"/>
      <c r="LU7" s="92"/>
      <c r="LV7" s="92"/>
      <c r="LW7" s="92"/>
      <c r="LX7" s="92"/>
      <c r="LY7" s="92"/>
      <c r="LZ7" s="92"/>
      <c r="MA7" s="92"/>
      <c r="MB7" s="92"/>
      <c r="MC7" s="92"/>
      <c r="MD7" s="92"/>
      <c r="ME7" s="92"/>
      <c r="MF7" s="92"/>
      <c r="MG7" s="92"/>
      <c r="MH7" s="92"/>
      <c r="MI7" s="92"/>
      <c r="MJ7" s="92"/>
      <c r="MK7" s="92"/>
      <c r="ML7" s="92"/>
      <c r="MM7" s="92"/>
      <c r="MN7" s="92"/>
      <c r="MO7" s="92"/>
      <c r="MP7" s="92"/>
      <c r="MQ7" s="92"/>
      <c r="MR7" s="92"/>
      <c r="MS7" s="92"/>
      <c r="MT7" s="92"/>
      <c r="MU7" s="92"/>
      <c r="MV7" s="92"/>
      <c r="MW7" s="92"/>
      <c r="MX7" s="92"/>
      <c r="MY7" s="92"/>
      <c r="MZ7" s="92"/>
      <c r="NA7" s="92"/>
      <c r="NB7" s="92"/>
      <c r="NC7" s="92"/>
      <c r="ND7" s="92"/>
      <c r="NE7" s="92"/>
      <c r="NF7" s="92"/>
      <c r="NG7" s="92"/>
      <c r="NH7" s="92"/>
      <c r="NI7" s="92"/>
      <c r="NJ7" s="92"/>
      <c r="NK7" s="92"/>
      <c r="NL7" s="92"/>
      <c r="NM7" s="92"/>
      <c r="NN7" s="92"/>
      <c r="NO7" s="92"/>
      <c r="NP7" s="92"/>
      <c r="NQ7" s="92"/>
      <c r="NR7" s="92"/>
      <c r="NS7" s="92"/>
      <c r="NT7" s="92"/>
      <c r="NU7" s="92"/>
      <c r="NV7" s="92"/>
      <c r="NW7" s="92"/>
      <c r="NX7" s="92"/>
      <c r="NY7" s="92"/>
      <c r="NZ7" s="92"/>
      <c r="OA7" s="92"/>
      <c r="OB7" s="92"/>
      <c r="OC7" s="92"/>
      <c r="OD7" s="92"/>
      <c r="OE7" s="92"/>
      <c r="OF7" s="92"/>
      <c r="OG7" s="92"/>
      <c r="OH7" s="92"/>
      <c r="OI7" s="92"/>
      <c r="OJ7" s="92"/>
      <c r="OK7" s="92"/>
      <c r="OL7" s="92"/>
      <c r="OM7" s="92"/>
      <c r="ON7" s="92"/>
      <c r="OO7" s="92"/>
      <c r="OP7" s="92"/>
      <c r="OQ7" s="92"/>
      <c r="OR7" s="92"/>
      <c r="OS7" s="92"/>
      <c r="OT7" s="92"/>
      <c r="OU7" s="92"/>
      <c r="OV7" s="92"/>
      <c r="OW7" s="92"/>
      <c r="OX7" s="92"/>
      <c r="OY7" s="92"/>
      <c r="OZ7" s="92"/>
      <c r="PA7" s="92"/>
      <c r="PB7" s="92"/>
      <c r="PC7" s="92"/>
      <c r="PD7" s="92"/>
      <c r="PE7" s="92"/>
      <c r="PF7" s="92"/>
      <c r="PG7" s="92"/>
      <c r="PH7" s="92"/>
      <c r="PI7" s="92"/>
      <c r="PJ7" s="92"/>
      <c r="PK7" s="92"/>
      <c r="PL7" s="92"/>
      <c r="PM7" s="92"/>
      <c r="PN7" s="92"/>
      <c r="PO7" s="92"/>
      <c r="PP7" s="92"/>
      <c r="PQ7" s="92"/>
      <c r="PR7" s="92"/>
      <c r="PS7" s="92"/>
      <c r="PT7" s="92"/>
      <c r="PU7" s="92"/>
      <c r="PV7" s="92"/>
      <c r="PW7" s="92"/>
      <c r="PX7" s="92"/>
      <c r="PY7" s="92"/>
      <c r="PZ7" s="92"/>
      <c r="QA7" s="92"/>
      <c r="QB7" s="92"/>
      <c r="QC7" s="92"/>
      <c r="QD7" s="92"/>
      <c r="QE7" s="92"/>
      <c r="QF7" s="92"/>
      <c r="QG7" s="92"/>
      <c r="QH7" s="92"/>
      <c r="QI7" s="92"/>
      <c r="QJ7" s="92"/>
      <c r="QK7" s="92"/>
      <c r="QL7" s="92"/>
      <c r="QM7" s="92"/>
      <c r="QN7" s="92"/>
      <c r="QO7" s="92"/>
      <c r="QP7" s="92"/>
      <c r="QQ7" s="92"/>
      <c r="QR7" s="92"/>
      <c r="QS7" s="92"/>
      <c r="QT7" s="92"/>
      <c r="QU7" s="92"/>
      <c r="QV7" s="92"/>
      <c r="QW7" s="92"/>
      <c r="QX7" s="92"/>
      <c r="QY7" s="92"/>
      <c r="QZ7" s="92"/>
      <c r="RA7" s="92"/>
      <c r="RB7" s="92"/>
      <c r="RC7" s="92"/>
      <c r="RD7" s="92"/>
      <c r="RE7" s="92"/>
      <c r="RF7" s="92"/>
      <c r="RG7" s="92"/>
      <c r="RH7" s="92"/>
      <c r="RI7" s="92"/>
      <c r="RJ7" s="92"/>
      <c r="RK7" s="92"/>
      <c r="RL7" s="92"/>
      <c r="RM7" s="92"/>
      <c r="RN7" s="92"/>
      <c r="RO7" s="92"/>
      <c r="RP7" s="92"/>
      <c r="RQ7" s="92"/>
      <c r="RR7" s="92"/>
      <c r="RS7" s="92"/>
      <c r="RT7" s="92"/>
      <c r="RU7" s="92"/>
      <c r="RV7" s="92"/>
      <c r="RW7" s="92"/>
      <c r="RX7" s="92"/>
      <c r="RY7" s="92"/>
      <c r="RZ7" s="92"/>
      <c r="SA7" s="92"/>
      <c r="SB7" s="92"/>
      <c r="SC7" s="92"/>
      <c r="SD7" s="92"/>
      <c r="SE7" s="92"/>
      <c r="SF7" s="92"/>
      <c r="SG7" s="92"/>
      <c r="SH7" s="92"/>
      <c r="SI7" s="92"/>
      <c r="SJ7" s="92"/>
      <c r="SK7" s="92"/>
      <c r="SL7" s="92"/>
      <c r="SM7" s="92"/>
      <c r="SN7" s="92"/>
      <c r="SO7" s="92"/>
      <c r="SP7" s="92"/>
      <c r="SQ7" s="92"/>
      <c r="SR7" s="92"/>
      <c r="SS7" s="92"/>
      <c r="ST7" s="92"/>
      <c r="SU7" s="92"/>
      <c r="SV7" s="92"/>
      <c r="SW7" s="92"/>
      <c r="SX7" s="92"/>
      <c r="SY7" s="92"/>
      <c r="SZ7" s="92"/>
      <c r="TA7" s="92"/>
      <c r="TB7" s="92"/>
      <c r="TC7" s="92"/>
      <c r="TD7" s="92"/>
      <c r="TE7" s="92"/>
      <c r="TF7" s="92"/>
      <c r="TG7" s="92"/>
      <c r="TH7" s="92"/>
      <c r="TI7" s="92"/>
      <c r="TJ7" s="92"/>
      <c r="TK7" s="92"/>
      <c r="TL7" s="92"/>
      <c r="TM7" s="92"/>
      <c r="TN7" s="92"/>
      <c r="TO7" s="92"/>
      <c r="TP7" s="92"/>
      <c r="TQ7" s="92"/>
      <c r="TR7" s="92"/>
      <c r="TS7" s="92"/>
      <c r="TT7" s="92"/>
      <c r="TU7" s="92"/>
      <c r="TV7" s="92"/>
      <c r="TW7" s="92"/>
      <c r="TX7" s="92"/>
      <c r="TY7" s="92"/>
      <c r="TZ7" s="92"/>
      <c r="UA7" s="92"/>
      <c r="UB7" s="92"/>
      <c r="UC7" s="92"/>
      <c r="UD7" s="92"/>
      <c r="UE7" s="92"/>
      <c r="UF7" s="92"/>
      <c r="UG7" s="92"/>
      <c r="UH7" s="92"/>
      <c r="UI7" s="92"/>
      <c r="UJ7" s="92"/>
      <c r="UK7" s="92"/>
      <c r="UL7" s="92"/>
      <c r="UM7" s="92"/>
      <c r="UN7" s="92"/>
      <c r="UO7" s="92"/>
      <c r="UP7" s="92"/>
      <c r="UQ7" s="92"/>
      <c r="UR7" s="92"/>
      <c r="US7" s="92"/>
      <c r="UT7" s="92"/>
      <c r="UU7" s="92"/>
      <c r="UV7" s="92"/>
      <c r="UW7" s="92"/>
      <c r="UX7" s="92"/>
      <c r="UY7" s="92"/>
      <c r="UZ7" s="92"/>
      <c r="VA7" s="92"/>
      <c r="VB7" s="92"/>
      <c r="VC7" s="92"/>
      <c r="VD7" s="92"/>
      <c r="VE7" s="92"/>
      <c r="VF7" s="92"/>
      <c r="VG7" s="92"/>
      <c r="VH7" s="92"/>
      <c r="VI7" s="92"/>
      <c r="VJ7" s="92"/>
      <c r="VK7" s="92"/>
      <c r="VL7" s="92"/>
      <c r="VM7" s="92"/>
      <c r="VN7" s="92"/>
      <c r="VO7" s="92"/>
      <c r="VP7" s="92"/>
      <c r="VQ7" s="92"/>
      <c r="VR7" s="92"/>
      <c r="VS7" s="92"/>
      <c r="VT7" s="92"/>
      <c r="VU7" s="92"/>
      <c r="VV7" s="92"/>
      <c r="VW7" s="92"/>
      <c r="VX7" s="92"/>
      <c r="VY7" s="92"/>
      <c r="VZ7" s="92"/>
      <c r="WA7" s="92"/>
      <c r="WB7" s="92"/>
      <c r="WC7" s="92"/>
      <c r="WD7" s="92"/>
      <c r="WE7" s="92"/>
      <c r="WF7" s="92"/>
      <c r="WG7" s="92"/>
      <c r="WH7" s="92"/>
      <c r="WI7" s="92"/>
      <c r="WJ7" s="92"/>
      <c r="WK7" s="92"/>
      <c r="WL7" s="92"/>
      <c r="WM7" s="92"/>
      <c r="WN7" s="92"/>
      <c r="WO7" s="92"/>
      <c r="WP7" s="92"/>
      <c r="WQ7" s="92"/>
      <c r="WR7" s="92"/>
      <c r="WS7" s="92"/>
      <c r="WT7" s="92"/>
      <c r="WU7" s="92"/>
      <c r="WV7" s="92"/>
      <c r="WW7" s="92"/>
      <c r="WX7" s="92"/>
      <c r="WY7" s="92"/>
      <c r="WZ7" s="92"/>
      <c r="XA7" s="92"/>
      <c r="XB7" s="92"/>
      <c r="XC7" s="92"/>
      <c r="XD7" s="92"/>
      <c r="XE7" s="92"/>
      <c r="XF7" s="92"/>
      <c r="XG7" s="92"/>
      <c r="XH7" s="92"/>
      <c r="XI7" s="92"/>
      <c r="XJ7" s="92"/>
      <c r="XK7" s="92"/>
      <c r="XL7" s="92"/>
      <c r="XM7" s="92"/>
      <c r="XN7" s="92"/>
      <c r="XO7" s="92"/>
      <c r="XP7" s="92"/>
      <c r="XQ7" s="92"/>
      <c r="XR7" s="92"/>
      <c r="XS7" s="92"/>
      <c r="XT7" s="92"/>
      <c r="XU7" s="92"/>
      <c r="XV7" s="92"/>
      <c r="XW7" s="92"/>
      <c r="XX7" s="92"/>
      <c r="XY7" s="92"/>
      <c r="XZ7" s="92"/>
      <c r="YA7" s="92"/>
      <c r="YB7" s="92"/>
      <c r="YC7" s="92"/>
      <c r="YD7" s="92"/>
      <c r="YE7" s="92"/>
      <c r="YF7" s="92"/>
      <c r="YG7" s="92"/>
      <c r="YH7" s="92"/>
      <c r="YI7" s="92"/>
      <c r="YJ7" s="92"/>
      <c r="YK7" s="92"/>
      <c r="YL7" s="92"/>
      <c r="YM7" s="92"/>
      <c r="YN7" s="92"/>
      <c r="YO7" s="92"/>
      <c r="YP7" s="92"/>
      <c r="YQ7" s="92"/>
      <c r="YR7" s="92"/>
      <c r="YS7" s="92"/>
      <c r="YT7" s="92"/>
      <c r="YU7" s="92"/>
      <c r="YV7" s="92"/>
      <c r="YW7" s="92"/>
      <c r="YX7" s="92"/>
      <c r="YY7" s="92"/>
      <c r="YZ7" s="92"/>
      <c r="ZA7" s="92"/>
      <c r="ZB7" s="92"/>
      <c r="ZC7" s="92"/>
      <c r="ZD7" s="92"/>
      <c r="ZE7" s="92"/>
      <c r="ZF7" s="92"/>
      <c r="ZG7" s="92"/>
      <c r="ZH7" s="92"/>
      <c r="ZI7" s="92"/>
      <c r="ZJ7" s="92"/>
      <c r="ZK7" s="92"/>
      <c r="ZL7" s="92"/>
      <c r="ZM7" s="92"/>
      <c r="ZN7" s="92"/>
      <c r="ZO7" s="92"/>
      <c r="ZP7" s="92"/>
      <c r="ZQ7" s="92"/>
      <c r="ZR7" s="92"/>
      <c r="ZS7" s="92"/>
      <c r="ZT7" s="92"/>
      <c r="ZU7" s="92"/>
      <c r="ZV7" s="92"/>
      <c r="ZW7" s="92"/>
      <c r="ZX7" s="92"/>
      <c r="ZY7" s="92"/>
      <c r="ZZ7" s="92"/>
      <c r="AAA7" s="92"/>
      <c r="AAB7" s="92"/>
      <c r="AAC7" s="92"/>
      <c r="AAD7" s="92"/>
      <c r="AAE7" s="92"/>
      <c r="AAF7" s="92"/>
      <c r="AAG7" s="92"/>
      <c r="AAH7" s="92"/>
      <c r="AAI7" s="92"/>
      <c r="AAJ7" s="92"/>
      <c r="AAK7" s="92"/>
      <c r="AAL7" s="92"/>
      <c r="AAM7" s="92"/>
      <c r="AAN7" s="92"/>
      <c r="AAO7" s="92"/>
      <c r="AAP7" s="92"/>
      <c r="AAQ7" s="92"/>
      <c r="AAR7" s="92"/>
      <c r="AAS7" s="92"/>
      <c r="AAT7" s="92"/>
      <c r="AAU7" s="92"/>
      <c r="AAV7" s="92"/>
      <c r="AAW7" s="92"/>
      <c r="AAX7" s="92"/>
      <c r="AAY7" s="92"/>
      <c r="AAZ7" s="92"/>
      <c r="ABA7" s="92"/>
      <c r="ABB7" s="92"/>
      <c r="ABC7" s="92"/>
      <c r="ABD7" s="92"/>
      <c r="ABE7" s="92"/>
      <c r="ABF7" s="92"/>
      <c r="ABG7" s="92"/>
      <c r="ABH7" s="92"/>
      <c r="ABI7" s="92"/>
      <c r="ABJ7" s="92"/>
      <c r="ABK7" s="92"/>
      <c r="ABL7" s="92"/>
      <c r="ABM7" s="92"/>
      <c r="ABN7" s="92"/>
      <c r="ABO7" s="92"/>
      <c r="ABP7" s="92"/>
      <c r="ABQ7" s="92"/>
      <c r="ABR7" s="92"/>
      <c r="ABS7" s="92"/>
      <c r="ABT7" s="92"/>
      <c r="ABU7" s="92"/>
      <c r="ABV7" s="92"/>
      <c r="ABW7" s="92"/>
      <c r="ABX7" s="92"/>
      <c r="ABY7" s="92"/>
      <c r="ABZ7" s="92"/>
      <c r="ACA7" s="92"/>
      <c r="ACB7" s="92"/>
      <c r="ACC7" s="92"/>
      <c r="ACD7" s="92"/>
      <c r="ACE7" s="92"/>
      <c r="ACF7" s="92"/>
      <c r="ACG7" s="92"/>
      <c r="ACH7" s="92"/>
      <c r="ACI7" s="92"/>
      <c r="ACJ7" s="92"/>
      <c r="ACK7" s="92"/>
      <c r="ACL7" s="92"/>
      <c r="ACM7" s="92"/>
      <c r="ACN7" s="92"/>
      <c r="ACO7" s="92"/>
      <c r="ACP7" s="92"/>
      <c r="ACQ7" s="92"/>
      <c r="ACR7" s="92"/>
      <c r="ACS7" s="92"/>
      <c r="ACT7" s="92"/>
      <c r="ACU7" s="92"/>
      <c r="ACV7" s="92"/>
      <c r="ACW7" s="92"/>
      <c r="ACX7" s="92"/>
      <c r="ACY7" s="92"/>
      <c r="ACZ7" s="92"/>
      <c r="ADA7" s="92"/>
      <c r="ADB7" s="92"/>
      <c r="ADC7" s="92"/>
      <c r="ADD7" s="92"/>
      <c r="ADE7" s="92"/>
      <c r="ADF7" s="92"/>
      <c r="ADG7" s="92"/>
      <c r="ADH7" s="92"/>
      <c r="ADI7" s="92"/>
      <c r="ADJ7" s="92"/>
      <c r="ADK7" s="92"/>
      <c r="ADL7" s="92"/>
      <c r="ADM7" s="92"/>
      <c r="ADN7" s="92"/>
      <c r="ADO7" s="92"/>
      <c r="ADP7" s="92"/>
      <c r="ADQ7" s="92"/>
      <c r="ADR7" s="92"/>
      <c r="ADS7" s="92"/>
      <c r="ADT7" s="92"/>
      <c r="ADU7" s="92"/>
      <c r="ADV7" s="92"/>
      <c r="ADW7" s="92"/>
      <c r="ADX7" s="92"/>
      <c r="ADY7" s="92"/>
      <c r="ADZ7" s="92"/>
      <c r="AEA7" s="92"/>
      <c r="AEB7" s="92"/>
      <c r="AEC7" s="92"/>
      <c r="AED7" s="92"/>
      <c r="AEE7" s="92"/>
      <c r="AEF7" s="92"/>
      <c r="AEG7" s="92"/>
      <c r="AEH7" s="92"/>
      <c r="AEI7" s="92"/>
      <c r="AEJ7" s="92"/>
      <c r="AEK7" s="92"/>
      <c r="AEL7" s="92"/>
      <c r="AEM7" s="92"/>
      <c r="AEN7" s="92"/>
      <c r="AEO7" s="92"/>
      <c r="AEP7" s="92"/>
      <c r="AEQ7" s="92"/>
      <c r="AER7" s="92"/>
      <c r="AES7" s="92"/>
      <c r="AET7" s="92"/>
      <c r="AEU7" s="92"/>
      <c r="AEV7" s="92"/>
      <c r="AEW7" s="92"/>
      <c r="AEX7" s="92"/>
      <c r="AEY7" s="92"/>
      <c r="AEZ7" s="92"/>
      <c r="AFA7" s="92"/>
      <c r="AFB7" s="92"/>
      <c r="AFC7" s="92"/>
      <c r="AFD7" s="92"/>
      <c r="AFE7" s="92"/>
      <c r="AFF7" s="92"/>
      <c r="AFG7" s="92"/>
      <c r="AFH7" s="92"/>
      <c r="AFI7" s="92"/>
      <c r="AFJ7" s="92"/>
      <c r="AFK7" s="92"/>
      <c r="AFL7" s="92"/>
      <c r="AFM7" s="92"/>
      <c r="AFN7" s="92"/>
      <c r="AFO7" s="92"/>
      <c r="AFP7" s="92"/>
      <c r="AFQ7" s="92"/>
      <c r="AFR7" s="92"/>
      <c r="AFS7" s="92"/>
      <c r="AFT7" s="92"/>
      <c r="AFU7" s="92"/>
      <c r="AFV7" s="92"/>
      <c r="AFW7" s="92"/>
      <c r="AFX7" s="92"/>
      <c r="AFY7" s="92"/>
      <c r="AFZ7" s="92"/>
      <c r="AGA7" s="92"/>
      <c r="AGB7" s="92"/>
      <c r="AGC7" s="92"/>
      <c r="AGD7" s="92"/>
      <c r="AGE7" s="92"/>
      <c r="AGF7" s="92"/>
      <c r="AGG7" s="92"/>
      <c r="AGH7" s="92"/>
      <c r="AGI7" s="92"/>
      <c r="AGJ7" s="92"/>
      <c r="AGK7" s="92"/>
      <c r="AGL7" s="92"/>
      <c r="AGM7" s="92"/>
    </row>
    <row r="8" spans="2:871" hidden="1" x14ac:dyDescent="0.2">
      <c r="B8" s="223" t="str">
        <f t="shared" si="0"/>
        <v/>
      </c>
      <c r="C8" s="224" t="s">
        <v>380</v>
      </c>
      <c r="D8" s="225" t="s">
        <v>381</v>
      </c>
      <c r="E8" s="226" t="str">
        <f t="shared" si="15"/>
        <v>登録</v>
      </c>
      <c r="F8" s="227"/>
      <c r="G8" s="227"/>
      <c r="H8" s="228">
        <v>43191</v>
      </c>
      <c r="I8" s="229" t="s">
        <v>360</v>
      </c>
      <c r="J8" s="230" t="s">
        <v>382</v>
      </c>
      <c r="K8" s="229"/>
      <c r="L8" s="230" t="s">
        <v>383</v>
      </c>
      <c r="M8" s="230" t="s">
        <v>79</v>
      </c>
      <c r="N8" s="229" t="s">
        <v>384</v>
      </c>
      <c r="O8" s="231">
        <v>25</v>
      </c>
      <c r="P8" s="231">
        <v>20</v>
      </c>
      <c r="Q8" s="232">
        <f t="shared" ref="Q8:Q10" si="36">IF(P8&gt;=10,150,0)</f>
        <v>150</v>
      </c>
      <c r="R8" s="231">
        <f t="shared" ref="R8:R10" si="37">IF(S8&gt;=1,1,"")</f>
        <v>1</v>
      </c>
      <c r="S8" s="231">
        <v>15</v>
      </c>
      <c r="T8" s="233">
        <f t="shared" ref="T8:T10" si="38">IF(Q8=0,0,IF(S8&gt;=25,MIN(250,ROUNDDOWN(S8*10,-1)),IF(S8&gt;=20,MIN(200,ROUNDDOWN(S8*10,-1)),IF(S8&gt;=15,MIN(150,ROUNDDOWN(S8*10,-1)),MIN(100,ROUNDDOWN(S8*10,-1))))))</f>
        <v>150</v>
      </c>
      <c r="U8" s="231">
        <f t="shared" ref="U8:U10" si="39">IF(V8&gt;=1,1,"")</f>
        <v>1</v>
      </c>
      <c r="V8" s="231">
        <v>3</v>
      </c>
      <c r="W8" s="233">
        <f t="shared" ref="W8:W10" si="40">IF(AND(Q8&gt;0,V8&gt;=1),MIN(INT(V8)*20,200),0)</f>
        <v>60</v>
      </c>
      <c r="X8" s="231" t="str">
        <f t="shared" ref="X8:X10" si="41">IF(Y8&gt;=1,1,"")</f>
        <v/>
      </c>
      <c r="Y8" s="231"/>
      <c r="Z8" s="231">
        <f t="shared" ref="Z8:Z10" si="42">IF(Y8&gt;=1,50,0)</f>
        <v>0</v>
      </c>
      <c r="AA8" s="232">
        <f t="shared" si="1"/>
        <v>100</v>
      </c>
      <c r="AB8" s="231">
        <f t="shared" ref="AB8:AB10" si="43">IF(AC8&gt;=1,1,"")</f>
        <v>1</v>
      </c>
      <c r="AC8" s="231">
        <v>50</v>
      </c>
      <c r="AD8" s="231">
        <f t="shared" si="2"/>
        <v>100</v>
      </c>
      <c r="AE8" s="231">
        <f t="shared" ref="AE8:AE10" si="44">IF(OR(AF8=1,AG8=1),1,"")</f>
        <v>1</v>
      </c>
      <c r="AF8" s="231">
        <v>1</v>
      </c>
      <c r="AG8" s="231"/>
      <c r="AH8" s="232" t="e">
        <f>IF(AND(Q8&gt;0,AE8=1,#REF!=""),100,0)</f>
        <v>#REF!</v>
      </c>
      <c r="AI8" s="231">
        <f t="shared" ref="AI8:AI10" si="45">IF(OR(AJ8=1,AK8=1),1,"")</f>
        <v>1</v>
      </c>
      <c r="AJ8" s="231"/>
      <c r="AK8" s="231">
        <v>1</v>
      </c>
      <c r="AL8" s="232">
        <f t="shared" si="3"/>
        <v>100</v>
      </c>
      <c r="AM8" s="231" t="str">
        <f t="shared" ref="AM8:AM10" si="46">IF(AU8&gt;=4,1,"")</f>
        <v/>
      </c>
      <c r="AN8" s="231"/>
      <c r="AO8" s="231"/>
      <c r="AP8" s="231"/>
      <c r="AQ8" s="231"/>
      <c r="AR8" s="231"/>
      <c r="AS8" s="231"/>
      <c r="AT8" s="231"/>
      <c r="AU8" s="231">
        <f t="shared" ref="AU8:AU10" si="47">SUM(AN8:AT8)</f>
        <v>0</v>
      </c>
      <c r="AV8" s="232">
        <f t="shared" ref="AV8:AV10" si="48">IF(AU8&gt;=4,200,0)</f>
        <v>0</v>
      </c>
      <c r="AW8" s="234"/>
      <c r="AX8" s="234"/>
      <c r="AY8" s="234"/>
      <c r="AZ8" s="232" t="e">
        <f>IF(OR(D8="新築",D8="登録"),MIN(1000,Q8+T8+W8+AA8+AH8+AL8+AV8),0)</f>
        <v>#REF!</v>
      </c>
      <c r="BA8" s="234"/>
      <c r="BB8" s="235"/>
      <c r="BC8" s="234"/>
      <c r="BD8" s="232">
        <f t="shared" ref="BD8:BD10" si="49">MIN(ROUNDDOWN(BB8,1)*20+INT(BC8)*2,250)</f>
        <v>0</v>
      </c>
      <c r="BE8" s="231" t="str">
        <f t="shared" ref="BE8:BE10" si="50">IF(OR(BF8=1,BG8=1),1,"")</f>
        <v/>
      </c>
      <c r="BF8" s="234"/>
      <c r="BG8" s="234"/>
      <c r="BH8" s="232" t="e">
        <f>IF(AND(BD8&gt;0,BE8=1,#REF!=""),100,0)</f>
        <v>#REF!</v>
      </c>
      <c r="BI8" s="231" t="str">
        <f t="shared" ref="BI8:BI10" si="51">IF(OR(BJ8=1,BK8=1,BL8=1),1,"")</f>
        <v/>
      </c>
      <c r="BJ8" s="234"/>
      <c r="BK8" s="234"/>
      <c r="BL8" s="234"/>
      <c r="BM8" s="232">
        <f t="shared" ref="BM8:BM10" si="52">IF(AND(BD8&gt;0,BI8=1),100,IF(AND(BD8&gt;0,BL8=1),100,0))</f>
        <v>0</v>
      </c>
      <c r="BN8" s="231" t="str">
        <f t="shared" ref="BN8:BN10" si="53">IF(OR(AND(BO8&gt;=7,BP8&gt;=7,BO8+BP8&gt;=14),AND(BO8&gt;=7,BQ8&gt;=3,BO8+BQ8&gt;=10),AND(BP8&gt;=7,BQ8&gt;=3,BP8+BQ8&gt;=10)),1,"")</f>
        <v/>
      </c>
      <c r="BO8" s="234"/>
      <c r="BP8" s="234"/>
      <c r="BQ8" s="234"/>
      <c r="BR8" s="232">
        <f t="shared" ref="BR8:BR10" si="54">IF(AND(BN8=1,BD8&gt;0),MIN(150,ROUNDDOWN(BO8*11+BP8*13+BQ8*19,0)),0)</f>
        <v>0</v>
      </c>
      <c r="BS8" s="234"/>
      <c r="BT8" s="232">
        <f>IF(D8="改修",MIN(500,BD8+BH8+BM8+BR8,INT(CM8*10/2)),0)</f>
        <v>0</v>
      </c>
      <c r="BU8" s="236"/>
      <c r="BV8" s="237" t="s">
        <v>9</v>
      </c>
      <c r="BW8" s="238"/>
      <c r="BX8" s="237" t="s">
        <v>359</v>
      </c>
      <c r="BY8" s="238"/>
      <c r="BZ8" s="239" t="s">
        <v>8</v>
      </c>
      <c r="CA8" s="236"/>
      <c r="CB8" s="237" t="s">
        <v>9</v>
      </c>
      <c r="CC8" s="238"/>
      <c r="CD8" s="237" t="s">
        <v>359</v>
      </c>
      <c r="CE8" s="238"/>
      <c r="CF8" s="239" t="s">
        <v>8</v>
      </c>
      <c r="CG8" s="228">
        <v>43198</v>
      </c>
      <c r="CH8" s="240" t="e">
        <f t="shared" si="16"/>
        <v>#REF!</v>
      </c>
      <c r="CI8" s="229" t="s">
        <v>360</v>
      </c>
      <c r="CJ8" s="229" t="s">
        <v>361</v>
      </c>
      <c r="CK8" s="225" t="s">
        <v>385</v>
      </c>
      <c r="CL8" s="229">
        <v>100</v>
      </c>
      <c r="CM8" s="241">
        <v>2200</v>
      </c>
      <c r="CN8" s="230" t="s">
        <v>363</v>
      </c>
      <c r="CO8" s="228"/>
      <c r="CP8" s="227"/>
      <c r="CQ8" s="227"/>
      <c r="CR8" s="228"/>
      <c r="CS8" s="228"/>
      <c r="CT8" s="227"/>
      <c r="CU8" s="227"/>
      <c r="CV8" s="227"/>
      <c r="CW8" s="227"/>
      <c r="CX8" s="227"/>
      <c r="CY8" s="227"/>
      <c r="CZ8" s="227"/>
      <c r="DA8"/>
      <c r="DB8" s="227"/>
      <c r="DC8" s="234"/>
      <c r="DD8" s="234"/>
      <c r="DE8" s="234"/>
      <c r="DF8" s="232">
        <f t="shared" si="4"/>
        <v>0</v>
      </c>
      <c r="DG8" s="232">
        <f>MIN(Q8,DF8)</f>
        <v>0</v>
      </c>
      <c r="DH8" s="231" t="str">
        <f t="shared" si="17"/>
        <v/>
      </c>
      <c r="DI8" s="234"/>
      <c r="DJ8" s="234"/>
      <c r="DK8" s="233">
        <f t="shared" si="18"/>
        <v>0</v>
      </c>
      <c r="DL8" s="232">
        <f>MIN(T8,DK8)</f>
        <v>0</v>
      </c>
      <c r="DM8" s="231" t="str">
        <f t="shared" si="19"/>
        <v/>
      </c>
      <c r="DN8" s="234"/>
      <c r="DO8" s="234"/>
      <c r="DP8" s="233">
        <f t="shared" si="20"/>
        <v>0</v>
      </c>
      <c r="DQ8" s="232">
        <f>MIN(W8,DP8)</f>
        <v>0</v>
      </c>
      <c r="DR8" s="231" t="str">
        <f t="shared" si="21"/>
        <v/>
      </c>
      <c r="DS8" s="234"/>
      <c r="DT8" s="231">
        <f t="shared" si="5"/>
        <v>0</v>
      </c>
      <c r="DU8" s="231" t="str">
        <f t="shared" si="22"/>
        <v/>
      </c>
      <c r="DV8" s="234"/>
      <c r="DW8" s="234"/>
      <c r="DX8" s="231">
        <f t="shared" si="23"/>
        <v>0</v>
      </c>
      <c r="DY8" s="232">
        <f t="shared" si="6"/>
        <v>0</v>
      </c>
      <c r="DZ8" s="232">
        <f>MIN(AA8,DY8)</f>
        <v>0</v>
      </c>
      <c r="EA8" s="231" t="str">
        <f t="shared" si="24"/>
        <v/>
      </c>
      <c r="EB8" s="234"/>
      <c r="EC8" s="234"/>
      <c r="ED8" s="232" t="e">
        <f>IF(AND(DF8&gt;0,EA8=1,#REF!=""),100,0)</f>
        <v>#REF!</v>
      </c>
      <c r="EE8" s="232" t="e">
        <f>MIN(AH8,ED8)</f>
        <v>#REF!</v>
      </c>
      <c r="EF8" s="231" t="str">
        <f t="shared" si="25"/>
        <v/>
      </c>
      <c r="EG8" s="234"/>
      <c r="EH8" s="234"/>
      <c r="EI8" s="232">
        <f t="shared" si="7"/>
        <v>0</v>
      </c>
      <c r="EJ8" s="232">
        <f>MIN(AL8,EI8)</f>
        <v>0</v>
      </c>
      <c r="EK8" s="231" t="str">
        <f t="shared" si="26"/>
        <v/>
      </c>
      <c r="EL8" s="234"/>
      <c r="EM8" s="234"/>
      <c r="EN8" s="234"/>
      <c r="EO8" s="234"/>
      <c r="EP8" s="234"/>
      <c r="EQ8" s="234"/>
      <c r="ER8" s="234"/>
      <c r="ES8" s="231">
        <f t="shared" si="27"/>
        <v>0</v>
      </c>
      <c r="ET8" s="232">
        <f t="shared" si="28"/>
        <v>0</v>
      </c>
      <c r="EU8" s="232">
        <f>MIN(AV8,ET8)</f>
        <v>0</v>
      </c>
      <c r="EV8" s="234"/>
      <c r="EW8" s="234"/>
      <c r="EX8" s="234"/>
      <c r="EY8" s="234"/>
      <c r="EZ8" s="234"/>
      <c r="FA8" s="232">
        <f>IF(D8="新築",MIN(1500,CH8,MIN(DG8+DL8+DQ8+DZ8+EE8+EJ8+EU8,1000)),0)</f>
        <v>0</v>
      </c>
      <c r="FB8" s="232" t="e">
        <f t="shared" si="8"/>
        <v>#REF!</v>
      </c>
      <c r="FC8" s="234"/>
      <c r="FD8" s="242"/>
      <c r="FE8" s="242"/>
      <c r="FF8" s="234"/>
      <c r="FG8" s="234"/>
      <c r="FH8" s="232">
        <f t="shared" si="29"/>
        <v>0</v>
      </c>
      <c r="FI8" s="232">
        <f t="shared" si="9"/>
        <v>0</v>
      </c>
      <c r="FJ8" s="231" t="str">
        <f t="shared" si="30"/>
        <v/>
      </c>
      <c r="FK8" s="234"/>
      <c r="FL8" s="234"/>
      <c r="FM8" s="232" t="e">
        <f>IF(AND(FH8&gt;0,FJ8=1,#REF!=""),100,0)</f>
        <v>#REF!</v>
      </c>
      <c r="FN8" s="232" t="e">
        <f t="shared" si="10"/>
        <v>#REF!</v>
      </c>
      <c r="FO8" s="231" t="str">
        <f t="shared" si="31"/>
        <v/>
      </c>
      <c r="FP8" s="234"/>
      <c r="FQ8" s="234"/>
      <c r="FR8" s="234"/>
      <c r="FS8" s="232">
        <f t="shared" si="32"/>
        <v>0</v>
      </c>
      <c r="FT8" s="232">
        <f t="shared" si="11"/>
        <v>0</v>
      </c>
      <c r="FU8" s="231" t="str">
        <f t="shared" si="33"/>
        <v/>
      </c>
      <c r="FV8" s="234"/>
      <c r="FW8" s="234"/>
      <c r="FX8" s="234"/>
      <c r="FY8" s="232">
        <f t="shared" si="34"/>
        <v>0</v>
      </c>
      <c r="FZ8" s="232">
        <f t="shared" si="12"/>
        <v>0</v>
      </c>
      <c r="GA8" s="234"/>
      <c r="GB8" s="234"/>
      <c r="GC8" s="232">
        <f>IF(D8="改修",MIN(500,FI8+FN8+FT8+FZ8,INT(CM8*10/2)),0)</f>
        <v>0</v>
      </c>
      <c r="GD8" s="232">
        <f t="shared" si="13"/>
        <v>0</v>
      </c>
      <c r="GE8" s="227"/>
      <c r="GF8" s="228"/>
      <c r="GG8" s="228"/>
      <c r="GH8" s="228"/>
      <c r="GI8" s="240">
        <f>IF(D8="新築",AZ8,IF(D8="改修",BT8,0))</f>
        <v>0</v>
      </c>
      <c r="GJ8" s="240">
        <f t="shared" si="14"/>
        <v>0</v>
      </c>
      <c r="GK8" s="240">
        <f t="shared" si="35"/>
        <v>0</v>
      </c>
    </row>
    <row r="9" spans="2:871" s="243" customFormat="1" hidden="1" x14ac:dyDescent="0.2">
      <c r="B9" s="223" t="str">
        <f t="shared" si="0"/>
        <v>支払済</v>
      </c>
      <c r="C9" s="224" t="s">
        <v>380</v>
      </c>
      <c r="D9" s="225" t="s">
        <v>351</v>
      </c>
      <c r="E9" s="226" t="str">
        <f t="shared" si="15"/>
        <v>建売購入</v>
      </c>
      <c r="F9" s="227"/>
      <c r="G9" s="227"/>
      <c r="H9" s="228">
        <v>43403</v>
      </c>
      <c r="I9" s="229" t="s">
        <v>386</v>
      </c>
      <c r="J9" s="230" t="s">
        <v>387</v>
      </c>
      <c r="K9" s="229"/>
      <c r="L9" s="230" t="s">
        <v>388</v>
      </c>
      <c r="M9" s="230" t="s">
        <v>389</v>
      </c>
      <c r="N9" s="229" t="s">
        <v>384</v>
      </c>
      <c r="O9" s="231">
        <v>25</v>
      </c>
      <c r="P9" s="231">
        <v>18</v>
      </c>
      <c r="Q9" s="232">
        <f t="shared" si="36"/>
        <v>150</v>
      </c>
      <c r="R9" s="231">
        <f t="shared" si="37"/>
        <v>1</v>
      </c>
      <c r="S9" s="231">
        <v>13</v>
      </c>
      <c r="T9" s="233">
        <f t="shared" si="38"/>
        <v>100</v>
      </c>
      <c r="U9" s="231">
        <f t="shared" si="39"/>
        <v>1</v>
      </c>
      <c r="V9" s="231">
        <v>2</v>
      </c>
      <c r="W9" s="233">
        <f t="shared" si="40"/>
        <v>40</v>
      </c>
      <c r="X9" s="231" t="str">
        <f t="shared" si="41"/>
        <v/>
      </c>
      <c r="Y9" s="231"/>
      <c r="Z9" s="231">
        <f t="shared" si="42"/>
        <v>0</v>
      </c>
      <c r="AA9" s="232">
        <f t="shared" si="1"/>
        <v>90</v>
      </c>
      <c r="AB9" s="231">
        <f t="shared" si="43"/>
        <v>1</v>
      </c>
      <c r="AC9" s="231">
        <v>45</v>
      </c>
      <c r="AD9" s="231">
        <f t="shared" si="2"/>
        <v>90</v>
      </c>
      <c r="AE9" s="231">
        <f t="shared" si="44"/>
        <v>1</v>
      </c>
      <c r="AF9" s="231"/>
      <c r="AG9" s="231">
        <v>1</v>
      </c>
      <c r="AH9" s="232" t="e">
        <f>IF(AND(Q9&gt;0,AE9=1,#REF!=""),100,0)</f>
        <v>#REF!</v>
      </c>
      <c r="AI9" s="231" t="str">
        <f t="shared" si="45"/>
        <v/>
      </c>
      <c r="AJ9" s="231"/>
      <c r="AK9" s="231"/>
      <c r="AL9" s="232">
        <f t="shared" si="3"/>
        <v>0</v>
      </c>
      <c r="AM9" s="231" t="str">
        <f t="shared" si="46"/>
        <v/>
      </c>
      <c r="AN9" s="231"/>
      <c r="AO9" s="231"/>
      <c r="AP9" s="231"/>
      <c r="AQ9" s="231"/>
      <c r="AR9" s="231"/>
      <c r="AS9" s="231"/>
      <c r="AT9" s="231"/>
      <c r="AU9" s="231">
        <f t="shared" si="47"/>
        <v>0</v>
      </c>
      <c r="AV9" s="232">
        <f t="shared" si="48"/>
        <v>0</v>
      </c>
      <c r="AW9" s="234"/>
      <c r="AX9" s="234"/>
      <c r="AY9" s="234"/>
      <c r="AZ9" s="232" t="e">
        <f>IF(OR(D9="新築",D9="登録"),MIN(1000,Q9+T9+W9+AA9+AH9+AL9+AV9),0)</f>
        <v>#REF!</v>
      </c>
      <c r="BA9" s="234"/>
      <c r="BB9" s="235"/>
      <c r="BC9" s="234"/>
      <c r="BD9" s="232">
        <f t="shared" si="49"/>
        <v>0</v>
      </c>
      <c r="BE9" s="231" t="str">
        <f t="shared" si="50"/>
        <v/>
      </c>
      <c r="BF9" s="234"/>
      <c r="BG9" s="234"/>
      <c r="BH9" s="232" t="e">
        <f>IF(AND(BD9&gt;0,BE9=1,#REF!=""),100,0)</f>
        <v>#REF!</v>
      </c>
      <c r="BI9" s="231" t="str">
        <f t="shared" si="51"/>
        <v/>
      </c>
      <c r="BJ9" s="234"/>
      <c r="BK9" s="234"/>
      <c r="BL9" s="234"/>
      <c r="BM9" s="232">
        <f t="shared" si="52"/>
        <v>0</v>
      </c>
      <c r="BN9" s="231" t="str">
        <f t="shared" si="53"/>
        <v/>
      </c>
      <c r="BO9" s="234"/>
      <c r="BP9" s="234"/>
      <c r="BQ9" s="234"/>
      <c r="BR9" s="232">
        <f t="shared" si="54"/>
        <v>0</v>
      </c>
      <c r="BS9" s="234"/>
      <c r="BT9" s="232">
        <f>IF(D9="改修",MIN(500,BD9+BH9+BM9+BR9,INT(CM9*10/2)),0)</f>
        <v>0</v>
      </c>
      <c r="BU9" s="236"/>
      <c r="BV9" s="237" t="s">
        <v>9</v>
      </c>
      <c r="BW9" s="238"/>
      <c r="BX9" s="237" t="s">
        <v>359</v>
      </c>
      <c r="BY9" s="238"/>
      <c r="BZ9" s="239" t="s">
        <v>8</v>
      </c>
      <c r="CA9" s="236"/>
      <c r="CB9" s="237" t="s">
        <v>9</v>
      </c>
      <c r="CC9" s="238"/>
      <c r="CD9" s="237" t="s">
        <v>359</v>
      </c>
      <c r="CE9" s="238"/>
      <c r="CF9" s="239" t="s">
        <v>8</v>
      </c>
      <c r="CG9" s="228">
        <v>43409</v>
      </c>
      <c r="CH9" s="240" t="e">
        <f t="shared" si="16"/>
        <v>#REF!</v>
      </c>
      <c r="CI9" s="229" t="s">
        <v>360</v>
      </c>
      <c r="CJ9" s="229" t="s">
        <v>361</v>
      </c>
      <c r="CK9" s="225" t="s">
        <v>385</v>
      </c>
      <c r="CL9" s="229">
        <v>100</v>
      </c>
      <c r="CM9" s="241">
        <v>2200</v>
      </c>
      <c r="CN9" s="230" t="s">
        <v>363</v>
      </c>
      <c r="CO9" s="228"/>
      <c r="CP9" s="227"/>
      <c r="CQ9" s="227"/>
      <c r="CR9" s="228"/>
      <c r="CS9" s="228"/>
      <c r="CT9" s="227"/>
      <c r="CU9" s="227"/>
      <c r="CV9" s="227"/>
      <c r="CW9" s="227"/>
      <c r="CX9" s="227"/>
      <c r="CY9" s="227"/>
      <c r="CZ9" s="227"/>
      <c r="DA9"/>
      <c r="DB9" s="227"/>
      <c r="DC9" s="231">
        <v>25</v>
      </c>
      <c r="DD9" s="231">
        <v>18</v>
      </c>
      <c r="DE9" s="234" t="s">
        <v>390</v>
      </c>
      <c r="DF9" s="232">
        <f t="shared" si="4"/>
        <v>150</v>
      </c>
      <c r="DG9" s="232">
        <f>MIN(Q9,DF9)</f>
        <v>150</v>
      </c>
      <c r="DH9" s="231">
        <f t="shared" si="17"/>
        <v>1</v>
      </c>
      <c r="DI9" s="231">
        <v>13</v>
      </c>
      <c r="DJ9" s="234" t="s">
        <v>390</v>
      </c>
      <c r="DK9" s="233">
        <f t="shared" si="18"/>
        <v>100</v>
      </c>
      <c r="DL9" s="232">
        <f>MIN(T9,DK9)</f>
        <v>100</v>
      </c>
      <c r="DM9" s="231">
        <f t="shared" si="19"/>
        <v>1</v>
      </c>
      <c r="DN9" s="231">
        <v>2</v>
      </c>
      <c r="DO9" s="234" t="s">
        <v>391</v>
      </c>
      <c r="DP9" s="233">
        <f t="shared" si="20"/>
        <v>40</v>
      </c>
      <c r="DQ9" s="232">
        <f>MIN(W9,DP9)</f>
        <v>40</v>
      </c>
      <c r="DR9" s="231" t="str">
        <f t="shared" si="21"/>
        <v/>
      </c>
      <c r="DS9" s="231"/>
      <c r="DT9" s="231">
        <f t="shared" si="5"/>
        <v>0</v>
      </c>
      <c r="DU9" s="231">
        <f t="shared" si="22"/>
        <v>1</v>
      </c>
      <c r="DV9" s="231">
        <v>45</v>
      </c>
      <c r="DW9" s="234" t="s">
        <v>392</v>
      </c>
      <c r="DX9" s="231">
        <f t="shared" si="23"/>
        <v>90</v>
      </c>
      <c r="DY9" s="232">
        <f t="shared" si="6"/>
        <v>90</v>
      </c>
      <c r="DZ9" s="232">
        <f>MIN(AA9,DY9)</f>
        <v>90</v>
      </c>
      <c r="EA9" s="231">
        <f t="shared" si="24"/>
        <v>1</v>
      </c>
      <c r="EB9" s="231"/>
      <c r="EC9" s="231">
        <v>1</v>
      </c>
      <c r="ED9" s="232" t="e">
        <f>IF(AND(DF9&gt;0,EA9=1,#REF!=""),100,0)</f>
        <v>#REF!</v>
      </c>
      <c r="EE9" s="232" t="e">
        <f>MIN(AH9,ED9)</f>
        <v>#REF!</v>
      </c>
      <c r="EF9" s="231" t="str">
        <f t="shared" si="25"/>
        <v/>
      </c>
      <c r="EG9" s="231"/>
      <c r="EH9" s="231"/>
      <c r="EI9" s="232">
        <f t="shared" si="7"/>
        <v>0</v>
      </c>
      <c r="EJ9" s="232">
        <f>MIN(AL9,EI9)</f>
        <v>0</v>
      </c>
      <c r="EK9" s="231" t="str">
        <f t="shared" si="26"/>
        <v/>
      </c>
      <c r="EL9" s="231"/>
      <c r="EM9" s="231"/>
      <c r="EN9" s="231"/>
      <c r="EO9" s="231"/>
      <c r="EP9" s="231"/>
      <c r="EQ9" s="231"/>
      <c r="ER9" s="231"/>
      <c r="ES9" s="231">
        <f t="shared" si="27"/>
        <v>0</v>
      </c>
      <c r="ET9" s="232">
        <f t="shared" si="28"/>
        <v>0</v>
      </c>
      <c r="EU9" s="232">
        <f>MIN(AV9,ET9)</f>
        <v>0</v>
      </c>
      <c r="EV9" s="234"/>
      <c r="EW9" s="234"/>
      <c r="EX9" s="234"/>
      <c r="EY9" s="234"/>
      <c r="EZ9" s="234"/>
      <c r="FA9" s="232" t="e">
        <f>IF(D9="新築",MIN(1500,CH9,MIN(DG9+DL9+DQ9+DZ9+EE9+EJ9+EU9,1000)),0)</f>
        <v>#REF!</v>
      </c>
      <c r="FB9" s="232" t="e">
        <f t="shared" si="8"/>
        <v>#REF!</v>
      </c>
      <c r="FC9" s="234"/>
      <c r="FD9" s="242"/>
      <c r="FE9" s="242"/>
      <c r="FF9" s="234"/>
      <c r="FG9" s="234"/>
      <c r="FH9" s="232">
        <f t="shared" si="29"/>
        <v>0</v>
      </c>
      <c r="FI9" s="232">
        <f t="shared" si="9"/>
        <v>0</v>
      </c>
      <c r="FJ9" s="231" t="str">
        <f t="shared" si="30"/>
        <v/>
      </c>
      <c r="FK9" s="234"/>
      <c r="FL9" s="234"/>
      <c r="FM9" s="232" t="e">
        <f>IF(AND(FH9&gt;0,FJ9=1,#REF!=""),100,0)</f>
        <v>#REF!</v>
      </c>
      <c r="FN9" s="232" t="e">
        <f t="shared" si="10"/>
        <v>#REF!</v>
      </c>
      <c r="FO9" s="231" t="str">
        <f t="shared" si="31"/>
        <v/>
      </c>
      <c r="FP9" s="234"/>
      <c r="FQ9" s="234"/>
      <c r="FR9" s="234"/>
      <c r="FS9" s="232">
        <f t="shared" si="32"/>
        <v>0</v>
      </c>
      <c r="FT9" s="232">
        <f t="shared" si="11"/>
        <v>0</v>
      </c>
      <c r="FU9" s="231" t="str">
        <f t="shared" si="33"/>
        <v/>
      </c>
      <c r="FV9" s="234"/>
      <c r="FW9" s="234"/>
      <c r="FX9" s="234"/>
      <c r="FY9" s="232">
        <f t="shared" si="34"/>
        <v>0</v>
      </c>
      <c r="FZ9" s="232">
        <f t="shared" si="12"/>
        <v>0</v>
      </c>
      <c r="GA9" s="234"/>
      <c r="GB9" s="234"/>
      <c r="GC9" s="232">
        <f>IF(D9="改修",MIN(500,FI9+FN9+FT9+FZ9,INT(CM9*10/2)),0)</f>
        <v>0</v>
      </c>
      <c r="GD9" s="232">
        <f t="shared" si="13"/>
        <v>0</v>
      </c>
      <c r="GE9" s="227" t="s">
        <v>368</v>
      </c>
      <c r="GF9" s="228">
        <v>43403</v>
      </c>
      <c r="GG9" s="228">
        <v>43409</v>
      </c>
      <c r="GH9" s="228">
        <v>43429</v>
      </c>
      <c r="GI9" s="240" t="e">
        <f>IF(D9="新築",AZ9,IF(D9="改修",BT9,0))</f>
        <v>#REF!</v>
      </c>
      <c r="GJ9" s="240" t="e">
        <f t="shared" si="14"/>
        <v>#REF!</v>
      </c>
      <c r="GK9" s="240" t="e">
        <f t="shared" si="35"/>
        <v>#REF!</v>
      </c>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c r="IW9" s="92"/>
      <c r="IX9" s="92"/>
      <c r="IY9" s="92"/>
      <c r="IZ9" s="92"/>
      <c r="JA9" s="92"/>
      <c r="JB9" s="92"/>
      <c r="JC9" s="92"/>
      <c r="JD9" s="92"/>
      <c r="JE9" s="92"/>
      <c r="JF9" s="92"/>
      <c r="JG9" s="92"/>
      <c r="JH9" s="92"/>
      <c r="JI9" s="92"/>
      <c r="JJ9" s="92"/>
      <c r="JK9" s="92"/>
      <c r="JL9" s="92"/>
      <c r="JM9" s="92"/>
      <c r="JN9" s="92"/>
      <c r="JO9" s="92"/>
      <c r="JP9" s="92"/>
      <c r="JQ9" s="92"/>
      <c r="JR9" s="92"/>
      <c r="JS9" s="92"/>
      <c r="JT9" s="92"/>
      <c r="JU9" s="92"/>
      <c r="JV9" s="92"/>
      <c r="JW9" s="92"/>
      <c r="JX9" s="92"/>
      <c r="JY9" s="92"/>
      <c r="JZ9" s="92"/>
      <c r="KA9" s="92"/>
      <c r="KB9" s="92"/>
      <c r="KC9" s="92"/>
      <c r="KD9" s="92"/>
      <c r="KE9" s="92"/>
      <c r="KF9" s="92"/>
      <c r="KG9" s="92"/>
      <c r="KH9" s="92"/>
      <c r="KI9" s="92"/>
      <c r="KJ9" s="92"/>
      <c r="KK9" s="92"/>
      <c r="KL9" s="92"/>
      <c r="KM9" s="92"/>
      <c r="KN9" s="92"/>
      <c r="KO9" s="92"/>
      <c r="KP9" s="92"/>
      <c r="KQ9" s="92"/>
      <c r="KR9" s="92"/>
      <c r="KS9" s="92"/>
      <c r="KT9" s="92"/>
      <c r="KU9" s="92"/>
      <c r="KV9" s="92"/>
      <c r="KW9" s="92"/>
      <c r="KX9" s="92"/>
      <c r="KY9" s="92"/>
      <c r="KZ9" s="92"/>
      <c r="LA9" s="92"/>
      <c r="LB9" s="92"/>
      <c r="LC9" s="92"/>
      <c r="LD9" s="92"/>
      <c r="LE9" s="92"/>
      <c r="LF9" s="92"/>
      <c r="LG9" s="92"/>
      <c r="LH9" s="92"/>
      <c r="LI9" s="92"/>
      <c r="LJ9" s="92"/>
      <c r="LK9" s="92"/>
      <c r="LL9" s="92"/>
      <c r="LM9" s="92"/>
      <c r="LN9" s="92"/>
      <c r="LO9" s="92"/>
      <c r="LP9" s="92"/>
      <c r="LQ9" s="92"/>
      <c r="LR9" s="92"/>
      <c r="LS9" s="92"/>
      <c r="LT9" s="92"/>
      <c r="LU9" s="92"/>
      <c r="LV9" s="92"/>
      <c r="LW9" s="92"/>
      <c r="LX9" s="92"/>
      <c r="LY9" s="92"/>
      <c r="LZ9" s="92"/>
      <c r="MA9" s="92"/>
      <c r="MB9" s="92"/>
      <c r="MC9" s="92"/>
      <c r="MD9" s="92"/>
      <c r="ME9" s="92"/>
      <c r="MF9" s="92"/>
      <c r="MG9" s="92"/>
      <c r="MH9" s="92"/>
      <c r="MI9" s="92"/>
      <c r="MJ9" s="92"/>
      <c r="MK9" s="92"/>
      <c r="ML9" s="92"/>
      <c r="MM9" s="92"/>
      <c r="MN9" s="92"/>
      <c r="MO9" s="92"/>
      <c r="MP9" s="92"/>
      <c r="MQ9" s="92"/>
      <c r="MR9" s="92"/>
      <c r="MS9" s="92"/>
      <c r="MT9" s="92"/>
      <c r="MU9" s="92"/>
      <c r="MV9" s="92"/>
      <c r="MW9" s="92"/>
      <c r="MX9" s="92"/>
      <c r="MY9" s="92"/>
      <c r="MZ9" s="92"/>
      <c r="NA9" s="92"/>
      <c r="NB9" s="92"/>
      <c r="NC9" s="92"/>
      <c r="ND9" s="92"/>
      <c r="NE9" s="92"/>
      <c r="NF9" s="92"/>
      <c r="NG9" s="92"/>
      <c r="NH9" s="92"/>
      <c r="NI9" s="92"/>
      <c r="NJ9" s="92"/>
      <c r="NK9" s="92"/>
      <c r="NL9" s="92"/>
      <c r="NM9" s="92"/>
      <c r="NN9" s="92"/>
      <c r="NO9" s="92"/>
      <c r="NP9" s="92"/>
      <c r="NQ9" s="92"/>
      <c r="NR9" s="92"/>
      <c r="NS9" s="92"/>
      <c r="NT9" s="92"/>
      <c r="NU9" s="92"/>
      <c r="NV9" s="92"/>
      <c r="NW9" s="92"/>
      <c r="NX9" s="92"/>
      <c r="NY9" s="92"/>
      <c r="NZ9" s="92"/>
      <c r="OA9" s="92"/>
      <c r="OB9" s="92"/>
      <c r="OC9" s="92"/>
      <c r="OD9" s="92"/>
      <c r="OE9" s="92"/>
      <c r="OF9" s="92"/>
      <c r="OG9" s="92"/>
      <c r="OH9" s="92"/>
      <c r="OI9" s="92"/>
      <c r="OJ9" s="92"/>
      <c r="OK9" s="92"/>
      <c r="OL9" s="92"/>
      <c r="OM9" s="92"/>
      <c r="ON9" s="92"/>
      <c r="OO9" s="92"/>
      <c r="OP9" s="92"/>
      <c r="OQ9" s="92"/>
      <c r="OR9" s="92"/>
      <c r="OS9" s="92"/>
      <c r="OT9" s="92"/>
      <c r="OU9" s="92"/>
      <c r="OV9" s="92"/>
      <c r="OW9" s="92"/>
      <c r="OX9" s="92"/>
      <c r="OY9" s="92"/>
      <c r="OZ9" s="92"/>
      <c r="PA9" s="92"/>
      <c r="PB9" s="92"/>
      <c r="PC9" s="92"/>
      <c r="PD9" s="92"/>
      <c r="PE9" s="92"/>
      <c r="PF9" s="92"/>
      <c r="PG9" s="92"/>
      <c r="PH9" s="92"/>
      <c r="PI9" s="92"/>
      <c r="PJ9" s="92"/>
      <c r="PK9" s="92"/>
      <c r="PL9" s="92"/>
      <c r="PM9" s="92"/>
      <c r="PN9" s="92"/>
      <c r="PO9" s="92"/>
      <c r="PP9" s="92"/>
      <c r="PQ9" s="92"/>
      <c r="PR9" s="92"/>
      <c r="PS9" s="92"/>
      <c r="PT9" s="92"/>
      <c r="PU9" s="92"/>
      <c r="PV9" s="92"/>
      <c r="PW9" s="92"/>
      <c r="PX9" s="92"/>
      <c r="PY9" s="92"/>
      <c r="PZ9" s="92"/>
      <c r="QA9" s="92"/>
      <c r="QB9" s="92"/>
      <c r="QC9" s="92"/>
      <c r="QD9" s="92"/>
      <c r="QE9" s="92"/>
      <c r="QF9" s="92"/>
      <c r="QG9" s="92"/>
      <c r="QH9" s="92"/>
      <c r="QI9" s="92"/>
      <c r="QJ9" s="92"/>
      <c r="QK9" s="92"/>
      <c r="QL9" s="92"/>
      <c r="QM9" s="92"/>
      <c r="QN9" s="92"/>
      <c r="QO9" s="92"/>
      <c r="QP9" s="92"/>
      <c r="QQ9" s="92"/>
      <c r="QR9" s="92"/>
      <c r="QS9" s="92"/>
      <c r="QT9" s="92"/>
      <c r="QU9" s="92"/>
      <c r="QV9" s="92"/>
      <c r="QW9" s="92"/>
      <c r="QX9" s="92"/>
      <c r="QY9" s="92"/>
      <c r="QZ9" s="92"/>
      <c r="RA9" s="92"/>
      <c r="RB9" s="92"/>
      <c r="RC9" s="92"/>
      <c r="RD9" s="92"/>
      <c r="RE9" s="92"/>
      <c r="RF9" s="92"/>
      <c r="RG9" s="92"/>
      <c r="RH9" s="92"/>
      <c r="RI9" s="92"/>
      <c r="RJ9" s="92"/>
      <c r="RK9" s="92"/>
      <c r="RL9" s="92"/>
      <c r="RM9" s="92"/>
      <c r="RN9" s="92"/>
      <c r="RO9" s="92"/>
      <c r="RP9" s="92"/>
      <c r="RQ9" s="92"/>
      <c r="RR9" s="92"/>
      <c r="RS9" s="92"/>
      <c r="RT9" s="92"/>
      <c r="RU9" s="92"/>
      <c r="RV9" s="92"/>
      <c r="RW9" s="92"/>
      <c r="RX9" s="92"/>
      <c r="RY9" s="92"/>
      <c r="RZ9" s="92"/>
      <c r="SA9" s="92"/>
      <c r="SB9" s="92"/>
      <c r="SC9" s="92"/>
      <c r="SD9" s="92"/>
      <c r="SE9" s="92"/>
      <c r="SF9" s="92"/>
      <c r="SG9" s="92"/>
      <c r="SH9" s="92"/>
      <c r="SI9" s="92"/>
      <c r="SJ9" s="92"/>
      <c r="SK9" s="92"/>
      <c r="SL9" s="92"/>
      <c r="SM9" s="92"/>
      <c r="SN9" s="92"/>
      <c r="SO9" s="92"/>
      <c r="SP9" s="92"/>
      <c r="SQ9" s="92"/>
      <c r="SR9" s="92"/>
      <c r="SS9" s="92"/>
      <c r="ST9" s="92"/>
      <c r="SU9" s="92"/>
      <c r="SV9" s="92"/>
      <c r="SW9" s="92"/>
      <c r="SX9" s="92"/>
      <c r="SY9" s="92"/>
      <c r="SZ9" s="92"/>
      <c r="TA9" s="92"/>
      <c r="TB9" s="92"/>
      <c r="TC9" s="92"/>
      <c r="TD9" s="92"/>
      <c r="TE9" s="92"/>
      <c r="TF9" s="92"/>
      <c r="TG9" s="92"/>
      <c r="TH9" s="92"/>
      <c r="TI9" s="92"/>
      <c r="TJ9" s="92"/>
      <c r="TK9" s="92"/>
      <c r="TL9" s="92"/>
      <c r="TM9" s="92"/>
      <c r="TN9" s="92"/>
      <c r="TO9" s="92"/>
      <c r="TP9" s="92"/>
      <c r="TQ9" s="92"/>
      <c r="TR9" s="92"/>
      <c r="TS9" s="92"/>
      <c r="TT9" s="92"/>
      <c r="TU9" s="92"/>
      <c r="TV9" s="92"/>
      <c r="TW9" s="92"/>
      <c r="TX9" s="92"/>
      <c r="TY9" s="92"/>
      <c r="TZ9" s="92"/>
      <c r="UA9" s="92"/>
      <c r="UB9" s="92"/>
      <c r="UC9" s="92"/>
      <c r="UD9" s="92"/>
      <c r="UE9" s="92"/>
      <c r="UF9" s="92"/>
      <c r="UG9" s="92"/>
      <c r="UH9" s="92"/>
      <c r="UI9" s="92"/>
      <c r="UJ9" s="92"/>
      <c r="UK9" s="92"/>
      <c r="UL9" s="92"/>
      <c r="UM9" s="92"/>
      <c r="UN9" s="92"/>
      <c r="UO9" s="92"/>
      <c r="UP9" s="92"/>
      <c r="UQ9" s="92"/>
      <c r="UR9" s="92"/>
      <c r="US9" s="92"/>
      <c r="UT9" s="92"/>
      <c r="UU9" s="92"/>
      <c r="UV9" s="92"/>
      <c r="UW9" s="92"/>
      <c r="UX9" s="92"/>
      <c r="UY9" s="92"/>
      <c r="UZ9" s="92"/>
      <c r="VA9" s="92"/>
      <c r="VB9" s="92"/>
      <c r="VC9" s="92"/>
      <c r="VD9" s="92"/>
      <c r="VE9" s="92"/>
      <c r="VF9" s="92"/>
      <c r="VG9" s="92"/>
      <c r="VH9" s="92"/>
      <c r="VI9" s="92"/>
      <c r="VJ9" s="92"/>
      <c r="VK9" s="92"/>
      <c r="VL9" s="92"/>
      <c r="VM9" s="92"/>
      <c r="VN9" s="92"/>
      <c r="VO9" s="92"/>
      <c r="VP9" s="92"/>
      <c r="VQ9" s="92"/>
      <c r="VR9" s="92"/>
      <c r="VS9" s="92"/>
      <c r="VT9" s="92"/>
      <c r="VU9" s="92"/>
      <c r="VV9" s="92"/>
      <c r="VW9" s="92"/>
      <c r="VX9" s="92"/>
      <c r="VY9" s="92"/>
      <c r="VZ9" s="92"/>
      <c r="WA9" s="92"/>
      <c r="WB9" s="92"/>
      <c r="WC9" s="92"/>
      <c r="WD9" s="92"/>
      <c r="WE9" s="92"/>
      <c r="WF9" s="92"/>
      <c r="WG9" s="92"/>
      <c r="WH9" s="92"/>
      <c r="WI9" s="92"/>
      <c r="WJ9" s="92"/>
      <c r="WK9" s="92"/>
      <c r="WL9" s="92"/>
      <c r="WM9" s="92"/>
      <c r="WN9" s="92"/>
      <c r="WO9" s="92"/>
      <c r="WP9" s="92"/>
      <c r="WQ9" s="92"/>
      <c r="WR9" s="92"/>
      <c r="WS9" s="92"/>
      <c r="WT9" s="92"/>
      <c r="WU9" s="92"/>
      <c r="WV9" s="92"/>
      <c r="WW9" s="92"/>
      <c r="WX9" s="92"/>
      <c r="WY9" s="92"/>
      <c r="WZ9" s="92"/>
      <c r="XA9" s="92"/>
      <c r="XB9" s="92"/>
      <c r="XC9" s="92"/>
      <c r="XD9" s="92"/>
      <c r="XE9" s="92"/>
      <c r="XF9" s="92"/>
      <c r="XG9" s="92"/>
      <c r="XH9" s="92"/>
      <c r="XI9" s="92"/>
      <c r="XJ9" s="92"/>
      <c r="XK9" s="92"/>
      <c r="XL9" s="92"/>
      <c r="XM9" s="92"/>
      <c r="XN9" s="92"/>
      <c r="XO9" s="92"/>
      <c r="XP9" s="92"/>
      <c r="XQ9" s="92"/>
      <c r="XR9" s="92"/>
      <c r="XS9" s="92"/>
      <c r="XT9" s="92"/>
      <c r="XU9" s="92"/>
      <c r="XV9" s="92"/>
      <c r="XW9" s="92"/>
      <c r="XX9" s="92"/>
      <c r="XY9" s="92"/>
      <c r="XZ9" s="92"/>
      <c r="YA9" s="92"/>
      <c r="YB9" s="92"/>
      <c r="YC9" s="92"/>
      <c r="YD9" s="92"/>
      <c r="YE9" s="92"/>
      <c r="YF9" s="92"/>
      <c r="YG9" s="92"/>
      <c r="YH9" s="92"/>
      <c r="YI9" s="92"/>
      <c r="YJ9" s="92"/>
      <c r="YK9" s="92"/>
      <c r="YL9" s="92"/>
      <c r="YM9" s="92"/>
      <c r="YN9" s="92"/>
      <c r="YO9" s="92"/>
      <c r="YP9" s="92"/>
      <c r="YQ9" s="92"/>
      <c r="YR9" s="92"/>
      <c r="YS9" s="92"/>
      <c r="YT9" s="92"/>
      <c r="YU9" s="92"/>
      <c r="YV9" s="92"/>
      <c r="YW9" s="92"/>
      <c r="YX9" s="92"/>
      <c r="YY9" s="92"/>
      <c r="YZ9" s="92"/>
      <c r="ZA9" s="92"/>
      <c r="ZB9" s="92"/>
      <c r="ZC9" s="92"/>
      <c r="ZD9" s="92"/>
      <c r="ZE9" s="92"/>
      <c r="ZF9" s="92"/>
      <c r="ZG9" s="92"/>
      <c r="ZH9" s="92"/>
      <c r="ZI9" s="92"/>
      <c r="ZJ9" s="92"/>
      <c r="ZK9" s="92"/>
      <c r="ZL9" s="92"/>
      <c r="ZM9" s="92"/>
      <c r="ZN9" s="92"/>
      <c r="ZO9" s="92"/>
      <c r="ZP9" s="92"/>
      <c r="ZQ9" s="92"/>
      <c r="ZR9" s="92"/>
      <c r="ZS9" s="92"/>
      <c r="ZT9" s="92"/>
      <c r="ZU9" s="92"/>
      <c r="ZV9" s="92"/>
      <c r="ZW9" s="92"/>
      <c r="ZX9" s="92"/>
      <c r="ZY9" s="92"/>
      <c r="ZZ9" s="92"/>
      <c r="AAA9" s="92"/>
      <c r="AAB9" s="92"/>
      <c r="AAC9" s="92"/>
      <c r="AAD9" s="92"/>
      <c r="AAE9" s="92"/>
      <c r="AAF9" s="92"/>
      <c r="AAG9" s="92"/>
      <c r="AAH9" s="92"/>
      <c r="AAI9" s="92"/>
      <c r="AAJ9" s="92"/>
      <c r="AAK9" s="92"/>
      <c r="AAL9" s="92"/>
      <c r="AAM9" s="92"/>
      <c r="AAN9" s="92"/>
      <c r="AAO9" s="92"/>
      <c r="AAP9" s="92"/>
      <c r="AAQ9" s="92"/>
      <c r="AAR9" s="92"/>
      <c r="AAS9" s="92"/>
      <c r="AAT9" s="92"/>
      <c r="AAU9" s="92"/>
      <c r="AAV9" s="92"/>
      <c r="AAW9" s="92"/>
      <c r="AAX9" s="92"/>
      <c r="AAY9" s="92"/>
      <c r="AAZ9" s="92"/>
      <c r="ABA9" s="92"/>
      <c r="ABB9" s="92"/>
      <c r="ABC9" s="92"/>
      <c r="ABD9" s="92"/>
      <c r="ABE9" s="92"/>
      <c r="ABF9" s="92"/>
      <c r="ABG9" s="92"/>
      <c r="ABH9" s="92"/>
      <c r="ABI9" s="92"/>
      <c r="ABJ9" s="92"/>
      <c r="ABK9" s="92"/>
      <c r="ABL9" s="92"/>
      <c r="ABM9" s="92"/>
      <c r="ABN9" s="92"/>
      <c r="ABO9" s="92"/>
      <c r="ABP9" s="92"/>
      <c r="ABQ9" s="92"/>
      <c r="ABR9" s="92"/>
      <c r="ABS9" s="92"/>
      <c r="ABT9" s="92"/>
      <c r="ABU9" s="92"/>
      <c r="ABV9" s="92"/>
      <c r="ABW9" s="92"/>
      <c r="ABX9" s="92"/>
      <c r="ABY9" s="92"/>
      <c r="ABZ9" s="92"/>
      <c r="ACA9" s="92"/>
      <c r="ACB9" s="92"/>
      <c r="ACC9" s="92"/>
      <c r="ACD9" s="92"/>
      <c r="ACE9" s="92"/>
      <c r="ACF9" s="92"/>
      <c r="ACG9" s="92"/>
      <c r="ACH9" s="92"/>
      <c r="ACI9" s="92"/>
      <c r="ACJ9" s="92"/>
      <c r="ACK9" s="92"/>
      <c r="ACL9" s="92"/>
      <c r="ACM9" s="92"/>
      <c r="ACN9" s="92"/>
      <c r="ACO9" s="92"/>
      <c r="ACP9" s="92"/>
      <c r="ACQ9" s="92"/>
      <c r="ACR9" s="92"/>
      <c r="ACS9" s="92"/>
      <c r="ACT9" s="92"/>
      <c r="ACU9" s="92"/>
      <c r="ACV9" s="92"/>
      <c r="ACW9" s="92"/>
      <c r="ACX9" s="92"/>
      <c r="ACY9" s="92"/>
      <c r="ACZ9" s="92"/>
      <c r="ADA9" s="92"/>
      <c r="ADB9" s="92"/>
      <c r="ADC9" s="92"/>
      <c r="ADD9" s="92"/>
      <c r="ADE9" s="92"/>
      <c r="ADF9" s="92"/>
      <c r="ADG9" s="92"/>
      <c r="ADH9" s="92"/>
      <c r="ADI9" s="92"/>
      <c r="ADJ9" s="92"/>
      <c r="ADK9" s="92"/>
      <c r="ADL9" s="92"/>
      <c r="ADM9" s="92"/>
      <c r="ADN9" s="92"/>
      <c r="ADO9" s="92"/>
      <c r="ADP9" s="92"/>
      <c r="ADQ9" s="92"/>
      <c r="ADR9" s="92"/>
      <c r="ADS9" s="92"/>
      <c r="ADT9" s="92"/>
      <c r="ADU9" s="92"/>
      <c r="ADV9" s="92"/>
      <c r="ADW9" s="92"/>
      <c r="ADX9" s="92"/>
      <c r="ADY9" s="92"/>
      <c r="ADZ9" s="92"/>
      <c r="AEA9" s="92"/>
      <c r="AEB9" s="92"/>
      <c r="AEC9" s="92"/>
      <c r="AED9" s="92"/>
      <c r="AEE9" s="92"/>
      <c r="AEF9" s="92"/>
      <c r="AEG9" s="92"/>
      <c r="AEH9" s="92"/>
      <c r="AEI9" s="92"/>
      <c r="AEJ9" s="92"/>
      <c r="AEK9" s="92"/>
      <c r="AEL9" s="92"/>
      <c r="AEM9" s="92"/>
      <c r="AEN9" s="92"/>
      <c r="AEO9" s="92"/>
      <c r="AEP9" s="92"/>
      <c r="AEQ9" s="92"/>
      <c r="AER9" s="92"/>
      <c r="AES9" s="92"/>
      <c r="AET9" s="92"/>
      <c r="AEU9" s="92"/>
      <c r="AEV9" s="92"/>
      <c r="AEW9" s="92"/>
      <c r="AEX9" s="92"/>
      <c r="AEY9" s="92"/>
      <c r="AEZ9" s="92"/>
      <c r="AFA9" s="92"/>
      <c r="AFB9" s="92"/>
      <c r="AFC9" s="92"/>
      <c r="AFD9" s="92"/>
      <c r="AFE9" s="92"/>
      <c r="AFF9" s="92"/>
      <c r="AFG9" s="92"/>
      <c r="AFH9" s="92"/>
      <c r="AFI9" s="92"/>
      <c r="AFJ9" s="92"/>
      <c r="AFK9" s="92"/>
      <c r="AFL9" s="92"/>
      <c r="AFM9" s="92"/>
      <c r="AFN9" s="92"/>
      <c r="AFO9" s="92"/>
      <c r="AFP9" s="92"/>
      <c r="AFQ9" s="92"/>
      <c r="AFR9" s="92"/>
      <c r="AFS9" s="92"/>
      <c r="AFT9" s="92"/>
      <c r="AFU9" s="92"/>
      <c r="AFV9" s="92"/>
      <c r="AFW9" s="92"/>
      <c r="AFX9" s="92"/>
      <c r="AFY9" s="92"/>
      <c r="AFZ9" s="92"/>
      <c r="AGA9" s="92"/>
      <c r="AGB9" s="92"/>
      <c r="AGC9" s="92"/>
      <c r="AGD9" s="92"/>
      <c r="AGE9" s="92"/>
      <c r="AGF9" s="92"/>
      <c r="AGG9" s="92"/>
      <c r="AGH9" s="92"/>
      <c r="AGI9" s="92"/>
      <c r="AGJ9" s="92"/>
      <c r="AGK9" s="92"/>
      <c r="AGL9" s="92"/>
      <c r="AGM9" s="92"/>
    </row>
    <row r="10" spans="2:871" ht="12" hidden="1" customHeight="1" x14ac:dyDescent="0.2">
      <c r="B10" s="244" t="str">
        <f t="shared" si="0"/>
        <v/>
      </c>
      <c r="C10" s="245"/>
      <c r="D10" s="246"/>
      <c r="E10" s="247" t="str">
        <f t="shared" si="15"/>
        <v/>
      </c>
      <c r="F10" s="248"/>
      <c r="G10" s="248"/>
      <c r="H10" s="249"/>
      <c r="I10" s="248"/>
      <c r="J10" s="246"/>
      <c r="K10" s="248"/>
      <c r="L10" s="246"/>
      <c r="M10" s="246"/>
      <c r="N10" s="248"/>
      <c r="O10" s="250"/>
      <c r="P10" s="250"/>
      <c r="Q10" s="250">
        <f t="shared" si="36"/>
        <v>0</v>
      </c>
      <c r="R10" s="250" t="str">
        <f t="shared" si="37"/>
        <v/>
      </c>
      <c r="S10" s="250"/>
      <c r="T10" s="251">
        <f t="shared" si="38"/>
        <v>0</v>
      </c>
      <c r="U10" s="250" t="str">
        <f t="shared" si="39"/>
        <v/>
      </c>
      <c r="V10" s="250"/>
      <c r="W10" s="251">
        <f t="shared" si="40"/>
        <v>0</v>
      </c>
      <c r="X10" s="250" t="str">
        <f t="shared" si="41"/>
        <v/>
      </c>
      <c r="Y10" s="250"/>
      <c r="Z10" s="250">
        <f t="shared" si="42"/>
        <v>0</v>
      </c>
      <c r="AA10" s="250">
        <f t="shared" si="1"/>
        <v>0</v>
      </c>
      <c r="AB10" s="250" t="str">
        <f t="shared" si="43"/>
        <v/>
      </c>
      <c r="AC10" s="250"/>
      <c r="AD10" s="250">
        <f t="shared" si="2"/>
        <v>0</v>
      </c>
      <c r="AE10" s="250" t="str">
        <f t="shared" si="44"/>
        <v/>
      </c>
      <c r="AF10" s="250"/>
      <c r="AG10" s="250"/>
      <c r="AH10" s="250" t="e">
        <f>IF(AND(Q10&gt;0,AE10=1,#REF!=""),100,0)</f>
        <v>#REF!</v>
      </c>
      <c r="AI10" s="250" t="str">
        <f t="shared" si="45"/>
        <v/>
      </c>
      <c r="AJ10" s="250"/>
      <c r="AK10" s="250"/>
      <c r="AL10" s="250">
        <f t="shared" si="3"/>
        <v>0</v>
      </c>
      <c r="AM10" s="250" t="str">
        <f t="shared" si="46"/>
        <v/>
      </c>
      <c r="AN10" s="250"/>
      <c r="AO10" s="250"/>
      <c r="AP10" s="250"/>
      <c r="AQ10" s="250"/>
      <c r="AR10" s="250"/>
      <c r="AS10" s="250"/>
      <c r="AT10" s="250"/>
      <c r="AU10" s="250">
        <f t="shared" si="47"/>
        <v>0</v>
      </c>
      <c r="AV10" s="250">
        <f t="shared" si="48"/>
        <v>0</v>
      </c>
      <c r="AW10" s="250"/>
      <c r="AX10" s="250"/>
      <c r="AY10" s="250"/>
      <c r="AZ10" s="250">
        <f>IF(OR(D10="新築",D10="登録"),MIN(1000,Q10+T10+W10+AA10+AH10+AL10+AV10),0)</f>
        <v>0</v>
      </c>
      <c r="BA10" s="250"/>
      <c r="BB10" s="252"/>
      <c r="BC10" s="250"/>
      <c r="BD10" s="250">
        <f t="shared" si="49"/>
        <v>0</v>
      </c>
      <c r="BE10" s="250" t="str">
        <f t="shared" si="50"/>
        <v/>
      </c>
      <c r="BF10" s="250"/>
      <c r="BG10" s="250"/>
      <c r="BH10" s="250" t="e">
        <f>IF(AND(BD10&gt;0,BE10=1,#REF!=""),100,0)</f>
        <v>#REF!</v>
      </c>
      <c r="BI10" s="250" t="str">
        <f t="shared" si="51"/>
        <v/>
      </c>
      <c r="BJ10" s="250"/>
      <c r="BK10" s="250"/>
      <c r="BL10" s="250"/>
      <c r="BM10" s="250">
        <f t="shared" si="52"/>
        <v>0</v>
      </c>
      <c r="BN10" s="250" t="str">
        <f t="shared" si="53"/>
        <v/>
      </c>
      <c r="BO10" s="250"/>
      <c r="BP10" s="250"/>
      <c r="BQ10" s="250"/>
      <c r="BR10" s="250">
        <f t="shared" si="54"/>
        <v>0</v>
      </c>
      <c r="BS10" s="250"/>
      <c r="BT10" s="250">
        <f>IF(D10="改修",MIN(500,BD10+BH10+BM10+BR10,INT(CM10*10/2)),0)</f>
        <v>0</v>
      </c>
      <c r="BU10" s="253"/>
      <c r="BV10" s="254"/>
      <c r="BW10" s="254"/>
      <c r="BX10" s="254"/>
      <c r="BY10" s="254"/>
      <c r="BZ10" s="255"/>
      <c r="CA10" s="253"/>
      <c r="CB10" s="254"/>
      <c r="CC10" s="254"/>
      <c r="CD10" s="254"/>
      <c r="CE10" s="254"/>
      <c r="CF10" s="255"/>
      <c r="CG10" s="249"/>
      <c r="CH10" s="256">
        <f t="shared" si="16"/>
        <v>0</v>
      </c>
      <c r="CI10" s="248"/>
      <c r="CJ10" s="248"/>
      <c r="CK10" s="246"/>
      <c r="CL10" s="248"/>
      <c r="CM10" s="257"/>
      <c r="CN10" s="246"/>
      <c r="CO10" s="249"/>
      <c r="CP10" s="248"/>
      <c r="CQ10" s="248"/>
      <c r="CR10" s="249"/>
      <c r="CS10" s="249"/>
      <c r="CT10" s="248"/>
      <c r="CU10" s="248"/>
      <c r="CV10" s="248"/>
      <c r="CW10" s="248"/>
      <c r="CX10" s="248"/>
      <c r="CY10" s="248"/>
      <c r="CZ10" s="248"/>
      <c r="DA10" s="258"/>
      <c r="DB10" s="248"/>
      <c r="DC10" s="250"/>
      <c r="DD10" s="250"/>
      <c r="DE10" s="250"/>
      <c r="DF10" s="250">
        <f t="shared" si="4"/>
        <v>0</v>
      </c>
      <c r="DG10" s="250">
        <f>MIN(Q10,DF10)</f>
        <v>0</v>
      </c>
      <c r="DH10" s="250" t="str">
        <f t="shared" si="17"/>
        <v/>
      </c>
      <c r="DI10" s="250"/>
      <c r="DJ10" s="250"/>
      <c r="DK10" s="251">
        <f t="shared" si="18"/>
        <v>0</v>
      </c>
      <c r="DL10" s="250">
        <f>MIN(T10,DK10)</f>
        <v>0</v>
      </c>
      <c r="DM10" s="250" t="str">
        <f t="shared" si="19"/>
        <v/>
      </c>
      <c r="DN10" s="250"/>
      <c r="DO10" s="250"/>
      <c r="DP10" s="251">
        <f t="shared" si="20"/>
        <v>0</v>
      </c>
      <c r="DQ10" s="250">
        <f>MIN(W10,DP10)</f>
        <v>0</v>
      </c>
      <c r="DR10" s="250" t="str">
        <f t="shared" si="21"/>
        <v/>
      </c>
      <c r="DS10" s="250"/>
      <c r="DT10" s="250">
        <f t="shared" si="5"/>
        <v>0</v>
      </c>
      <c r="DU10" s="250" t="str">
        <f t="shared" si="22"/>
        <v/>
      </c>
      <c r="DV10" s="250"/>
      <c r="DW10" s="250"/>
      <c r="DX10" s="250">
        <f t="shared" si="23"/>
        <v>0</v>
      </c>
      <c r="DY10" s="250">
        <f t="shared" si="6"/>
        <v>0</v>
      </c>
      <c r="DZ10" s="250">
        <f>MIN(AA10,DY10)</f>
        <v>0</v>
      </c>
      <c r="EA10" s="250" t="str">
        <f t="shared" si="24"/>
        <v/>
      </c>
      <c r="EB10" s="250"/>
      <c r="EC10" s="250"/>
      <c r="ED10" s="250" t="e">
        <f>IF(AND(DF10&gt;0,EA10=1,#REF!=""),100,0)</f>
        <v>#REF!</v>
      </c>
      <c r="EE10" s="250" t="e">
        <f>MIN(AH10,ED10)</f>
        <v>#REF!</v>
      </c>
      <c r="EF10" s="250" t="str">
        <f t="shared" si="25"/>
        <v/>
      </c>
      <c r="EG10" s="250"/>
      <c r="EH10" s="250"/>
      <c r="EI10" s="250">
        <f t="shared" si="7"/>
        <v>0</v>
      </c>
      <c r="EJ10" s="250">
        <f>MIN(AL10,EI10)</f>
        <v>0</v>
      </c>
      <c r="EK10" s="250" t="str">
        <f t="shared" si="26"/>
        <v/>
      </c>
      <c r="EL10" s="250"/>
      <c r="EM10" s="250"/>
      <c r="EN10" s="250"/>
      <c r="EO10" s="250"/>
      <c r="EP10" s="250"/>
      <c r="EQ10" s="250"/>
      <c r="ER10" s="250"/>
      <c r="ES10" s="250">
        <f t="shared" si="27"/>
        <v>0</v>
      </c>
      <c r="ET10" s="250">
        <f t="shared" si="28"/>
        <v>0</v>
      </c>
      <c r="EU10" s="250">
        <f>MIN(AV10,ET10)</f>
        <v>0</v>
      </c>
      <c r="EV10" s="250"/>
      <c r="EW10" s="250"/>
      <c r="EX10" s="250"/>
      <c r="EY10" s="250"/>
      <c r="EZ10" s="250"/>
      <c r="FA10" s="250">
        <f>IF(D10="新築",MIN(1500,CH10,MIN(DG10+DL10+DQ10+DZ10+EE10+EJ10+EU10,1000)),0)</f>
        <v>0</v>
      </c>
      <c r="FB10" s="250">
        <f t="shared" si="8"/>
        <v>0</v>
      </c>
      <c r="FC10" s="250"/>
      <c r="FD10" s="259"/>
      <c r="FE10" s="259"/>
      <c r="FF10" s="250"/>
      <c r="FG10" s="250"/>
      <c r="FH10" s="250">
        <f t="shared" si="29"/>
        <v>0</v>
      </c>
      <c r="FI10" s="250">
        <f t="shared" si="9"/>
        <v>0</v>
      </c>
      <c r="FJ10" s="250" t="str">
        <f t="shared" si="30"/>
        <v/>
      </c>
      <c r="FK10" s="250"/>
      <c r="FL10" s="250"/>
      <c r="FM10" s="250" t="e">
        <f>IF(AND(FH10&gt;0,FJ10=1,#REF!=""),100,0)</f>
        <v>#REF!</v>
      </c>
      <c r="FN10" s="250" t="e">
        <f t="shared" si="10"/>
        <v>#REF!</v>
      </c>
      <c r="FO10" s="250" t="str">
        <f t="shared" si="31"/>
        <v/>
      </c>
      <c r="FP10" s="250"/>
      <c r="FQ10" s="250"/>
      <c r="FR10" s="250"/>
      <c r="FS10" s="250">
        <f t="shared" si="32"/>
        <v>0</v>
      </c>
      <c r="FT10" s="250">
        <f t="shared" si="11"/>
        <v>0</v>
      </c>
      <c r="FU10" s="250" t="str">
        <f t="shared" si="33"/>
        <v/>
      </c>
      <c r="FV10" s="250"/>
      <c r="FW10" s="250"/>
      <c r="FX10" s="250"/>
      <c r="FY10" s="250">
        <f t="shared" si="34"/>
        <v>0</v>
      </c>
      <c r="FZ10" s="250">
        <f t="shared" si="12"/>
        <v>0</v>
      </c>
      <c r="GA10" s="250"/>
      <c r="GB10" s="250"/>
      <c r="GC10" s="250">
        <f>IF(D10="改修",MIN(500,FI10+FN10+FT10+FZ10,INT(CM10*10/2)),0)</f>
        <v>0</v>
      </c>
      <c r="GD10" s="250">
        <f t="shared" si="13"/>
        <v>0</v>
      </c>
      <c r="GE10" s="248"/>
      <c r="GF10" s="249"/>
      <c r="GG10" s="249"/>
      <c r="GH10" s="249"/>
      <c r="GI10" s="240">
        <f>IF(D10="新築",AZ10,IF(D10="改修",BT10,0))</f>
        <v>0</v>
      </c>
      <c r="GJ10" s="240">
        <f t="shared" si="14"/>
        <v>0</v>
      </c>
      <c r="GK10" s="240">
        <f t="shared" si="35"/>
        <v>0</v>
      </c>
    </row>
    <row r="11" spans="2:871" s="243" customFormat="1" ht="21.6" customHeight="1" outlineLevel="1" x14ac:dyDescent="0.2">
      <c r="B11" s="223" t="str">
        <f t="shared" si="0"/>
        <v/>
      </c>
      <c r="C11" s="260"/>
      <c r="D11" s="225" t="s">
        <v>370</v>
      </c>
      <c r="E11" s="226" t="str">
        <f t="shared" si="15"/>
        <v/>
      </c>
      <c r="F11" s="227"/>
      <c r="G11" s="225"/>
      <c r="H11" s="228"/>
      <c r="I11" s="229" t="s">
        <v>393</v>
      </c>
      <c r="J11" s="230" t="s">
        <v>393</v>
      </c>
      <c r="K11" s="229" t="s">
        <v>393</v>
      </c>
      <c r="L11" s="230" t="s">
        <v>393</v>
      </c>
      <c r="M11" s="230" t="s">
        <v>393</v>
      </c>
      <c r="N11" s="229" t="s">
        <v>393</v>
      </c>
      <c r="O11" s="231"/>
      <c r="P11" s="231"/>
      <c r="Q11" s="232"/>
      <c r="R11" s="231"/>
      <c r="S11" s="231"/>
      <c r="T11" s="233"/>
      <c r="U11" s="231"/>
      <c r="V11" s="231"/>
      <c r="W11" s="233"/>
      <c r="X11" s="231"/>
      <c r="Y11" s="231"/>
      <c r="Z11" s="231"/>
      <c r="AA11" s="232"/>
      <c r="AB11" s="231"/>
      <c r="AC11" s="231"/>
      <c r="AD11" s="231"/>
      <c r="AE11" s="231"/>
      <c r="AF11" s="231"/>
      <c r="AG11" s="231"/>
      <c r="AH11" s="232"/>
      <c r="AI11" s="231"/>
      <c r="AJ11" s="231"/>
      <c r="AK11" s="231"/>
      <c r="AL11" s="232"/>
      <c r="AM11" s="231"/>
      <c r="AN11" s="231"/>
      <c r="AO11" s="231"/>
      <c r="AP11" s="231"/>
      <c r="AQ11" s="231"/>
      <c r="AR11" s="231"/>
      <c r="AS11" s="231"/>
      <c r="AT11" s="231"/>
      <c r="AU11" s="231"/>
      <c r="AV11" s="232"/>
      <c r="AW11" s="234"/>
      <c r="AX11" s="234"/>
      <c r="AY11" s="234"/>
      <c r="AZ11" s="232"/>
      <c r="BA11" s="234"/>
      <c r="BB11" s="235"/>
      <c r="BC11" s="234"/>
      <c r="BD11" s="232"/>
      <c r="BE11" s="231"/>
      <c r="BF11" s="234"/>
      <c r="BG11" s="234"/>
      <c r="BH11" s="232"/>
      <c r="BI11" s="231"/>
      <c r="BJ11" s="234"/>
      <c r="BK11" s="234"/>
      <c r="BL11" s="234"/>
      <c r="BM11" s="232"/>
      <c r="BN11" s="231"/>
      <c r="BO11" s="234"/>
      <c r="BP11" s="234"/>
      <c r="BQ11" s="234"/>
      <c r="BR11" s="232"/>
      <c r="BS11" s="234"/>
      <c r="BT11" s="232"/>
      <c r="BU11" s="261"/>
      <c r="BV11" s="237"/>
      <c r="BW11" s="237"/>
      <c r="BX11" s="237"/>
      <c r="BY11" s="237"/>
      <c r="BZ11" s="239"/>
      <c r="CA11" s="261"/>
      <c r="CB11" s="237"/>
      <c r="CC11" s="237"/>
      <c r="CD11" s="237"/>
      <c r="CE11" s="237"/>
      <c r="CF11" s="239"/>
      <c r="CG11" s="227"/>
      <c r="CH11" s="240"/>
      <c r="CI11" s="229"/>
      <c r="CJ11" s="229"/>
      <c r="CK11" s="225"/>
      <c r="CL11" s="229"/>
      <c r="CM11" s="229"/>
      <c r="CN11" s="229"/>
      <c r="CO11" s="227"/>
      <c r="CP11" s="227"/>
      <c r="CQ11" s="227"/>
      <c r="CR11" s="228"/>
      <c r="CS11" s="228"/>
      <c r="CT11" s="227"/>
      <c r="CU11" s="227"/>
      <c r="CV11" s="227"/>
      <c r="CW11" s="227"/>
      <c r="CX11" s="227"/>
      <c r="CY11" s="227"/>
      <c r="CZ11" s="227"/>
      <c r="DA11" t="s">
        <v>394</v>
      </c>
      <c r="DB11" s="225" t="s">
        <v>403</v>
      </c>
      <c r="DC11" s="231"/>
      <c r="DD11" s="231"/>
      <c r="DE11" s="234"/>
      <c r="DF11" s="232"/>
      <c r="DG11" s="232"/>
      <c r="DH11" s="231"/>
      <c r="DI11" s="231"/>
      <c r="DJ11" s="234"/>
      <c r="DK11" s="233"/>
      <c r="DL11" s="232"/>
      <c r="DM11" s="231"/>
      <c r="DN11" s="231"/>
      <c r="DO11" s="234"/>
      <c r="DP11" s="233"/>
      <c r="DQ11" s="232"/>
      <c r="DR11" s="231"/>
      <c r="DS11" s="231"/>
      <c r="DT11" s="231"/>
      <c r="DU11" s="231"/>
      <c r="DV11" s="231"/>
      <c r="DW11" s="234"/>
      <c r="DX11" s="231"/>
      <c r="DY11" s="232"/>
      <c r="DZ11" s="232"/>
      <c r="EA11" s="231"/>
      <c r="EB11" s="231"/>
      <c r="EC11" s="231"/>
      <c r="ED11" s="232"/>
      <c r="EE11" s="232"/>
      <c r="EF11" s="231"/>
      <c r="EG11" s="231"/>
      <c r="EH11" s="231"/>
      <c r="EI11" s="232"/>
      <c r="EJ11" s="232"/>
      <c r="EK11" s="231"/>
      <c r="EL11" s="231"/>
      <c r="EM11" s="231"/>
      <c r="EN11" s="231"/>
      <c r="EO11" s="231"/>
      <c r="EP11" s="231"/>
      <c r="EQ11" s="231"/>
      <c r="ER11" s="231"/>
      <c r="ES11" s="231"/>
      <c r="ET11" s="232"/>
      <c r="EU11" s="232"/>
      <c r="EV11" s="231"/>
      <c r="EW11" s="234"/>
      <c r="EX11" s="234"/>
      <c r="EY11" s="234"/>
      <c r="EZ11" s="234"/>
      <c r="FA11" s="232"/>
      <c r="FB11" s="262"/>
      <c r="FC11" s="231" t="str">
        <f>IF(【様式第６号の２】事業報告書兼チェックシート!Q87="","",【様式第６号の２】事業報告書兼チェックシート!Q87)</f>
        <v/>
      </c>
      <c r="FD11" s="274">
        <f>IF(【様式第６号の２】事業報告書兼チェックシート!Q88="",0,【様式第６号の２】事業報告書兼チェックシート!Q88)</f>
        <v>0</v>
      </c>
      <c r="FE11" s="242"/>
      <c r="FF11" s="274">
        <f>IF(【様式第６号の２】事業報告書兼チェックシート!Q89="",0,【様式第６号の２】事業報告書兼チェックシート!Q89)</f>
        <v>0</v>
      </c>
      <c r="FG11" s="234"/>
      <c r="FH11" s="232">
        <f>IFERROR(MIN(ROUNDDOWN(FD11,1)*20+INT(FF11)*2,250),0)</f>
        <v>0</v>
      </c>
      <c r="FI11" s="232">
        <f>IF('要入力　交付決定状況入力シート'!D3="",0,MIN('要入力　交付決定状況入力シート'!D3/1000,FH11))</f>
        <v>0</v>
      </c>
      <c r="FJ11" s="231" t="str">
        <f>IF(OR(FK11=1,FL11=1),1,"")</f>
        <v/>
      </c>
      <c r="FK11" s="231" t="str">
        <f>IF(【様式第６号の２】事業報告書兼チェックシート!Y102="","",IF(【様式第６号の２】事業報告書兼チェックシート!B104="","",1))</f>
        <v/>
      </c>
      <c r="FL11" s="231" t="str">
        <f>IF(【様式第６号の２】事業報告書兼チェックシート!Y102="","",IF(【様式第６号の２】事業報告書兼チェックシート!P104="","",1))</f>
        <v/>
      </c>
      <c r="FM11" s="232" t="str">
        <f>IFERROR(【様式第６号の２】事業報告書兼チェックシート!Y102*10,"")</f>
        <v/>
      </c>
      <c r="FN11" s="232">
        <f>IF('要入力　交付決定状況入力シート'!D5="",0,MIN('要入力　交付決定状況入力シート'!D5/1000,FM11))</f>
        <v>0</v>
      </c>
      <c r="FO11" s="231" t="str">
        <f>IF(OR(FP11=1,FQ11=1,FR11=1),1,"")</f>
        <v/>
      </c>
      <c r="FP11" s="231" t="str">
        <f>IF(【様式第６号の２】事業報告書兼チェックシート!Y120="","",IF(【様式第６号の２】事業報告書兼チェックシート!B133="","",1))</f>
        <v/>
      </c>
      <c r="FQ11" s="231" t="str">
        <f>IF(【様式第６号の２】事業報告書兼チェックシート!Y120="","",IF(【様式第６号の２】事業報告書兼チェックシート!B135="","",1))</f>
        <v/>
      </c>
      <c r="FR11" s="231" t="str">
        <f>IF(【様式第６号の２】事業報告書兼チェックシート!Y120="","",IF(【様式第６号の２】事業報告書兼チェックシート!B137="","",1))</f>
        <v/>
      </c>
      <c r="FS11" s="232" t="str">
        <f>IFERROR(【様式第６号の２】事業報告書兼チェックシート!Y120*10,"")</f>
        <v/>
      </c>
      <c r="FT11" s="232">
        <f>IF('要入力　交付決定状況入力シート'!D6="",0,MIN('要入力　交付決定状況入力シート'!D6/1000,FS11))</f>
        <v>0</v>
      </c>
      <c r="FU11" s="231" t="str">
        <f>IFERROR(IF(OR(AND(FV11&gt;=7,FW11&gt;=7,FV11+FW11&gt;=14),AND(FV11&gt;=7,FX11&gt;=3,FV11+FX11&gt;=10),AND(FW11&gt;=7,FX11&gt;=3,FW11+FX11&gt;=10)),1,""),0)</f>
        <v/>
      </c>
      <c r="FV11" s="231">
        <f>IF(【様式第６号の２】事業報告書兼チェックシート!N163="",0,【様式第６号の２】事業報告書兼チェックシート!N163)</f>
        <v>0</v>
      </c>
      <c r="FW11" s="231">
        <f>IF(【様式第６号の２】事業報告書兼チェックシート!N170="",0,【様式第６号の２】事業報告書兼チェックシート!N170)</f>
        <v>0</v>
      </c>
      <c r="FX11" s="231">
        <f>IF(【様式第６号の２】事業報告書兼チェックシート!N181="",0,【様式第６号の２】事業報告書兼チェックシート!N181)</f>
        <v>0</v>
      </c>
      <c r="FY11" s="232">
        <f t="shared" si="34"/>
        <v>0</v>
      </c>
      <c r="FZ11" s="232">
        <f>IF('要入力　交付決定状況入力シート'!D4="",0,MIN('要入力　交付決定状況入力シート'!D4/1000,FY11))</f>
        <v>0</v>
      </c>
      <c r="GA11" s="231" t="str">
        <f>IF(【様式第６号の２】事業報告書兼チェックシート!R170="","",【様式第６号の２】事業報告書兼チェックシート!R170)</f>
        <v/>
      </c>
      <c r="GB11" s="234"/>
      <c r="GC11" s="232">
        <f>IF(D11="改修",MIN(500,FI11+FN11+FT11+FZ11,INT(【様式第６号の２】事業報告書兼チェックシート!S31*10/2)),0)</f>
        <v>0</v>
      </c>
      <c r="GD11" s="232">
        <f>IFERROR('要入力　交付決定状況入力シート'!D9/1000-GC11,0)</f>
        <v>0</v>
      </c>
      <c r="GE11" s="227"/>
      <c r="GF11" s="228"/>
      <c r="GG11" s="228"/>
      <c r="GH11" s="228"/>
      <c r="GI11" s="240">
        <f>IFERROR(IF(D11="改修",'要入力　交付決定状況入力シート'!D9/1000,0),0)</f>
        <v>0</v>
      </c>
      <c r="GJ11" s="240">
        <f t="shared" si="14"/>
        <v>0</v>
      </c>
      <c r="GK11" s="240">
        <f>GI11-GJ11</f>
        <v>0</v>
      </c>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c r="IR11" s="92"/>
      <c r="IS11" s="92"/>
      <c r="IT11" s="92"/>
      <c r="IU11" s="92"/>
      <c r="IV11" s="92"/>
      <c r="IW11" s="92"/>
      <c r="IX11" s="92"/>
      <c r="IY11" s="92"/>
      <c r="IZ11" s="92"/>
      <c r="JA11" s="92"/>
      <c r="JB11" s="92"/>
      <c r="JC11" s="92"/>
      <c r="JD11" s="92"/>
      <c r="JE11" s="92"/>
      <c r="JF11" s="92"/>
      <c r="JG11" s="92"/>
      <c r="JH11" s="92"/>
      <c r="JI11" s="92"/>
      <c r="JJ11" s="92"/>
      <c r="JK11" s="92"/>
      <c r="JL11" s="92"/>
      <c r="JM11" s="92"/>
      <c r="JN11" s="92"/>
      <c r="JO11" s="92"/>
      <c r="JP11" s="92"/>
      <c r="JQ11" s="92"/>
      <c r="JR11" s="92"/>
      <c r="JS11" s="92"/>
      <c r="JT11" s="92"/>
      <c r="JU11" s="92"/>
      <c r="JV11" s="92"/>
      <c r="JW11" s="92"/>
      <c r="JX11" s="92"/>
      <c r="JY11" s="92"/>
      <c r="JZ11" s="92"/>
      <c r="KA11" s="92"/>
      <c r="KB11" s="92"/>
      <c r="KC11" s="92"/>
      <c r="KD11" s="92"/>
      <c r="KE11" s="92"/>
      <c r="KF11" s="92"/>
      <c r="KG11" s="92"/>
      <c r="KH11" s="92"/>
      <c r="KI11" s="92"/>
      <c r="KJ11" s="92"/>
      <c r="KK11" s="92"/>
      <c r="KL11" s="92"/>
      <c r="KM11" s="92"/>
      <c r="KN11" s="92"/>
      <c r="KO11" s="92"/>
      <c r="KP11" s="92"/>
      <c r="KQ11" s="92"/>
      <c r="KR11" s="92"/>
      <c r="KS11" s="92"/>
      <c r="KT11" s="92"/>
      <c r="KU11" s="92"/>
      <c r="KV11" s="92"/>
      <c r="KW11" s="92"/>
      <c r="KX11" s="92"/>
      <c r="KY11" s="92"/>
      <c r="KZ11" s="92"/>
      <c r="LA11" s="92"/>
      <c r="LB11" s="92"/>
      <c r="LC11" s="92"/>
      <c r="LD11" s="92"/>
      <c r="LE11" s="92"/>
      <c r="LF11" s="92"/>
      <c r="LG11" s="92"/>
      <c r="LH11" s="92"/>
      <c r="LI11" s="92"/>
      <c r="LJ11" s="92"/>
      <c r="LK11" s="92"/>
      <c r="LL11" s="92"/>
      <c r="LM11" s="92"/>
      <c r="LN11" s="92"/>
      <c r="LO11" s="92"/>
      <c r="LP11" s="92"/>
      <c r="LQ11" s="92"/>
      <c r="LR11" s="92"/>
      <c r="LS11" s="92"/>
      <c r="LT11" s="92"/>
      <c r="LU11" s="92"/>
      <c r="LV11" s="92"/>
      <c r="LW11" s="92"/>
      <c r="LX11" s="92"/>
      <c r="LY11" s="92"/>
      <c r="LZ11" s="92"/>
      <c r="MA11" s="92"/>
      <c r="MB11" s="92"/>
      <c r="MC11" s="92"/>
      <c r="MD11" s="92"/>
      <c r="ME11" s="92"/>
      <c r="MF11" s="92"/>
      <c r="MG11" s="92"/>
      <c r="MH11" s="92"/>
      <c r="MI11" s="92"/>
      <c r="MJ11" s="92"/>
      <c r="MK11" s="92"/>
      <c r="ML11" s="92"/>
      <c r="MM11" s="92"/>
      <c r="MN11" s="92"/>
      <c r="MO11" s="92"/>
      <c r="MP11" s="92"/>
      <c r="MQ11" s="92"/>
      <c r="MR11" s="92"/>
      <c r="MS11" s="92"/>
      <c r="MT11" s="92"/>
      <c r="MU11" s="92"/>
      <c r="MV11" s="92"/>
      <c r="MW11" s="92"/>
      <c r="MX11" s="92"/>
      <c r="MY11" s="92"/>
      <c r="MZ11" s="92"/>
      <c r="NA11" s="92"/>
      <c r="NB11" s="92"/>
      <c r="NC11" s="92"/>
      <c r="ND11" s="92"/>
      <c r="NE11" s="92"/>
      <c r="NF11" s="92"/>
      <c r="NG11" s="92"/>
      <c r="NH11" s="92"/>
      <c r="NI11" s="92"/>
      <c r="NJ11" s="92"/>
      <c r="NK11" s="92"/>
      <c r="NL11" s="92"/>
      <c r="NM11" s="92"/>
      <c r="NN11" s="92"/>
      <c r="NO11" s="92"/>
      <c r="NP11" s="92"/>
      <c r="NQ11" s="92"/>
      <c r="NR11" s="92"/>
      <c r="NS11" s="92"/>
      <c r="NT11" s="92"/>
      <c r="NU11" s="92"/>
      <c r="NV11" s="92"/>
      <c r="NW11" s="92"/>
      <c r="NX11" s="92"/>
      <c r="NY11" s="92"/>
      <c r="NZ11" s="92"/>
      <c r="OA11" s="92"/>
      <c r="OB11" s="92"/>
      <c r="OC11" s="92"/>
      <c r="OD11" s="92"/>
      <c r="OE11" s="92"/>
      <c r="OF11" s="92"/>
      <c r="OG11" s="92"/>
      <c r="OH11" s="92"/>
      <c r="OI11" s="92"/>
      <c r="OJ11" s="92"/>
      <c r="OK11" s="92"/>
      <c r="OL11" s="92"/>
      <c r="OM11" s="92"/>
      <c r="ON11" s="92"/>
      <c r="OO11" s="92"/>
      <c r="OP11" s="92"/>
      <c r="OQ11" s="92"/>
      <c r="OR11" s="92"/>
      <c r="OS11" s="92"/>
      <c r="OT11" s="92"/>
      <c r="OU11" s="92"/>
      <c r="OV11" s="92"/>
      <c r="OW11" s="92"/>
      <c r="OX11" s="92"/>
      <c r="OY11" s="92"/>
      <c r="OZ11" s="92"/>
      <c r="PA11" s="92"/>
      <c r="PB11" s="92"/>
      <c r="PC11" s="92"/>
      <c r="PD11" s="92"/>
      <c r="PE11" s="92"/>
      <c r="PF11" s="92"/>
      <c r="PG11" s="92"/>
      <c r="PH11" s="92"/>
      <c r="PI11" s="92"/>
      <c r="PJ11" s="92"/>
      <c r="PK11" s="92"/>
      <c r="PL11" s="92"/>
      <c r="PM11" s="92"/>
      <c r="PN11" s="92"/>
      <c r="PO11" s="92"/>
      <c r="PP11" s="92"/>
      <c r="PQ11" s="92"/>
      <c r="PR11" s="92"/>
      <c r="PS11" s="92"/>
      <c r="PT11" s="92"/>
      <c r="PU11" s="92"/>
      <c r="PV11" s="92"/>
      <c r="PW11" s="92"/>
      <c r="PX11" s="92"/>
      <c r="PY11" s="92"/>
      <c r="PZ11" s="92"/>
      <c r="QA11" s="92"/>
      <c r="QB11" s="92"/>
      <c r="QC11" s="92"/>
      <c r="QD11" s="92"/>
      <c r="QE11" s="92"/>
      <c r="QF11" s="92"/>
      <c r="QG11" s="92"/>
      <c r="QH11" s="92"/>
      <c r="QI11" s="92"/>
      <c r="QJ11" s="92"/>
      <c r="QK11" s="92"/>
      <c r="QL11" s="92"/>
      <c r="QM11" s="92"/>
      <c r="QN11" s="92"/>
      <c r="QO11" s="92"/>
      <c r="QP11" s="92"/>
      <c r="QQ11" s="92"/>
      <c r="QR11" s="92"/>
      <c r="QS11" s="92"/>
      <c r="QT11" s="92"/>
      <c r="QU11" s="92"/>
      <c r="QV11" s="92"/>
      <c r="QW11" s="92"/>
      <c r="QX11" s="92"/>
      <c r="QY11" s="92"/>
      <c r="QZ11" s="92"/>
      <c r="RA11" s="92"/>
      <c r="RB11" s="92"/>
      <c r="RC11" s="92"/>
      <c r="RD11" s="92"/>
      <c r="RE11" s="92"/>
      <c r="RF11" s="92"/>
      <c r="RG11" s="92"/>
      <c r="RH11" s="92"/>
      <c r="RI11" s="92"/>
      <c r="RJ11" s="92"/>
      <c r="RK11" s="92"/>
      <c r="RL11" s="92"/>
      <c r="RM11" s="92"/>
      <c r="RN11" s="92"/>
      <c r="RO11" s="92"/>
      <c r="RP11" s="92"/>
      <c r="RQ11" s="92"/>
      <c r="RR11" s="92"/>
      <c r="RS11" s="92"/>
      <c r="RT11" s="92"/>
      <c r="RU11" s="92"/>
      <c r="RV11" s="92"/>
      <c r="RW11" s="92"/>
      <c r="RX11" s="92"/>
      <c r="RY11" s="92"/>
      <c r="RZ11" s="92"/>
      <c r="SA11" s="92"/>
      <c r="SB11" s="92"/>
      <c r="SC11" s="92"/>
      <c r="SD11" s="92"/>
      <c r="SE11" s="92"/>
      <c r="SF11" s="92"/>
      <c r="SG11" s="92"/>
      <c r="SH11" s="92"/>
      <c r="SI11" s="92"/>
      <c r="SJ11" s="92"/>
      <c r="SK11" s="92"/>
      <c r="SL11" s="92"/>
      <c r="SM11" s="92"/>
      <c r="SN11" s="92"/>
      <c r="SO11" s="92"/>
      <c r="SP11" s="92"/>
      <c r="SQ11" s="92"/>
      <c r="SR11" s="92"/>
      <c r="SS11" s="92"/>
      <c r="ST11" s="92"/>
      <c r="SU11" s="92"/>
      <c r="SV11" s="92"/>
      <c r="SW11" s="92"/>
      <c r="SX11" s="92"/>
      <c r="SY11" s="92"/>
      <c r="SZ11" s="92"/>
      <c r="TA11" s="92"/>
      <c r="TB11" s="92"/>
      <c r="TC11" s="92"/>
      <c r="TD11" s="92"/>
      <c r="TE11" s="92"/>
      <c r="TF11" s="92"/>
      <c r="TG11" s="92"/>
      <c r="TH11" s="92"/>
      <c r="TI11" s="92"/>
      <c r="TJ11" s="92"/>
      <c r="TK11" s="92"/>
      <c r="TL11" s="92"/>
      <c r="TM11" s="92"/>
      <c r="TN11" s="92"/>
      <c r="TO11" s="92"/>
      <c r="TP11" s="92"/>
      <c r="TQ11" s="92"/>
      <c r="TR11" s="92"/>
      <c r="TS11" s="92"/>
      <c r="TT11" s="92"/>
      <c r="TU11" s="92"/>
      <c r="TV11" s="92"/>
      <c r="TW11" s="92"/>
      <c r="TX11" s="92"/>
      <c r="TY11" s="92"/>
      <c r="TZ11" s="92"/>
      <c r="UA11" s="92"/>
      <c r="UB11" s="92"/>
      <c r="UC11" s="92"/>
      <c r="UD11" s="92"/>
      <c r="UE11" s="92"/>
      <c r="UF11" s="92"/>
      <c r="UG11" s="92"/>
      <c r="UH11" s="92"/>
      <c r="UI11" s="92"/>
      <c r="UJ11" s="92"/>
      <c r="UK11" s="92"/>
      <c r="UL11" s="92"/>
      <c r="UM11" s="92"/>
      <c r="UN11" s="92"/>
      <c r="UO11" s="92"/>
      <c r="UP11" s="92"/>
      <c r="UQ11" s="92"/>
      <c r="UR11" s="92"/>
      <c r="US11" s="92"/>
      <c r="UT11" s="92"/>
      <c r="UU11" s="92"/>
      <c r="UV11" s="92"/>
      <c r="UW11" s="92"/>
      <c r="UX11" s="92"/>
      <c r="UY11" s="92"/>
      <c r="UZ11" s="92"/>
      <c r="VA11" s="92"/>
      <c r="VB11" s="92"/>
      <c r="VC11" s="92"/>
      <c r="VD11" s="92"/>
      <c r="VE11" s="92"/>
      <c r="VF11" s="92"/>
      <c r="VG11" s="92"/>
      <c r="VH11" s="92"/>
      <c r="VI11" s="92"/>
      <c r="VJ11" s="92"/>
      <c r="VK11" s="92"/>
      <c r="VL11" s="92"/>
      <c r="VM11" s="92"/>
      <c r="VN11" s="92"/>
      <c r="VO11" s="92"/>
      <c r="VP11" s="92"/>
      <c r="VQ11" s="92"/>
      <c r="VR11" s="92"/>
      <c r="VS11" s="92"/>
      <c r="VT11" s="92"/>
      <c r="VU11" s="92"/>
      <c r="VV11" s="92"/>
      <c r="VW11" s="92"/>
      <c r="VX11" s="92"/>
      <c r="VY11" s="92"/>
      <c r="VZ11" s="92"/>
      <c r="WA11" s="92"/>
      <c r="WB11" s="92"/>
      <c r="WC11" s="92"/>
      <c r="WD11" s="92"/>
      <c r="WE11" s="92"/>
      <c r="WF11" s="92"/>
      <c r="WG11" s="92"/>
      <c r="WH11" s="92"/>
      <c r="WI11" s="92"/>
      <c r="WJ11" s="92"/>
      <c r="WK11" s="92"/>
      <c r="WL11" s="92"/>
      <c r="WM11" s="92"/>
      <c r="WN11" s="92"/>
      <c r="WO11" s="92"/>
      <c r="WP11" s="92"/>
      <c r="WQ11" s="92"/>
      <c r="WR11" s="92"/>
      <c r="WS11" s="92"/>
      <c r="WT11" s="92"/>
      <c r="WU11" s="92"/>
      <c r="WV11" s="92"/>
      <c r="WW11" s="92"/>
      <c r="WX11" s="92"/>
      <c r="WY11" s="92"/>
      <c r="WZ11" s="92"/>
      <c r="XA11" s="92"/>
      <c r="XB11" s="92"/>
      <c r="XC11" s="92"/>
      <c r="XD11" s="92"/>
      <c r="XE11" s="92"/>
      <c r="XF11" s="92"/>
      <c r="XG11" s="92"/>
      <c r="XH11" s="92"/>
      <c r="XI11" s="92"/>
      <c r="XJ11" s="92"/>
      <c r="XK11" s="92"/>
      <c r="XL11" s="92"/>
      <c r="XM11" s="92"/>
      <c r="XN11" s="92"/>
      <c r="XO11" s="92"/>
      <c r="XP11" s="92"/>
      <c r="XQ11" s="92"/>
      <c r="XR11" s="92"/>
      <c r="XS11" s="92"/>
      <c r="XT11" s="92"/>
      <c r="XU11" s="92"/>
      <c r="XV11" s="92"/>
      <c r="XW11" s="92"/>
      <c r="XX11" s="92"/>
      <c r="XY11" s="92"/>
      <c r="XZ11" s="92"/>
      <c r="YA11" s="92"/>
      <c r="YB11" s="92"/>
      <c r="YC11" s="92"/>
      <c r="YD11" s="92"/>
      <c r="YE11" s="92"/>
      <c r="YF11" s="92"/>
      <c r="YG11" s="92"/>
      <c r="YH11" s="92"/>
      <c r="YI11" s="92"/>
      <c r="YJ11" s="92"/>
      <c r="YK11" s="92"/>
      <c r="YL11" s="92"/>
      <c r="YM11" s="92"/>
      <c r="YN11" s="92"/>
      <c r="YO11" s="92"/>
      <c r="YP11" s="92"/>
      <c r="YQ11" s="92"/>
      <c r="YR11" s="92"/>
      <c r="YS11" s="92"/>
      <c r="YT11" s="92"/>
      <c r="YU11" s="92"/>
      <c r="YV11" s="92"/>
      <c r="YW11" s="92"/>
      <c r="YX11" s="92"/>
      <c r="YY11" s="92"/>
      <c r="YZ11" s="92"/>
      <c r="ZA11" s="92"/>
      <c r="ZB11" s="92"/>
      <c r="ZC11" s="92"/>
      <c r="ZD11" s="92"/>
      <c r="ZE11" s="92"/>
      <c r="ZF11" s="92"/>
      <c r="ZG11" s="92"/>
      <c r="ZH11" s="92"/>
      <c r="ZI11" s="92"/>
      <c r="ZJ11" s="92"/>
      <c r="ZK11" s="92"/>
      <c r="ZL11" s="92"/>
      <c r="ZM11" s="92"/>
      <c r="ZN11" s="92"/>
      <c r="ZO11" s="92"/>
      <c r="ZP11" s="92"/>
      <c r="ZQ11" s="92"/>
      <c r="ZR11" s="92"/>
      <c r="ZS11" s="92"/>
      <c r="ZT11" s="92"/>
      <c r="ZU11" s="92"/>
      <c r="ZV11" s="92"/>
      <c r="ZW11" s="92"/>
      <c r="ZX11" s="92"/>
      <c r="ZY11" s="92"/>
      <c r="ZZ11" s="92"/>
      <c r="AAA11" s="92"/>
      <c r="AAB11" s="92"/>
      <c r="AAC11" s="92"/>
      <c r="AAD11" s="92"/>
      <c r="AAE11" s="92"/>
      <c r="AAF11" s="92"/>
      <c r="AAG11" s="92"/>
      <c r="AAH11" s="92"/>
      <c r="AAI11" s="92"/>
      <c r="AAJ11" s="92"/>
      <c r="AAK11" s="92"/>
      <c r="AAL11" s="92"/>
      <c r="AAM11" s="92"/>
      <c r="AAN11" s="92"/>
      <c r="AAO11" s="92"/>
      <c r="AAP11" s="92"/>
      <c r="AAQ11" s="92"/>
      <c r="AAR11" s="92"/>
      <c r="AAS11" s="92"/>
      <c r="AAT11" s="92"/>
      <c r="AAU11" s="92"/>
      <c r="AAV11" s="92"/>
      <c r="AAW11" s="92"/>
      <c r="AAX11" s="92"/>
      <c r="AAY11" s="92"/>
      <c r="AAZ11" s="92"/>
      <c r="ABA11" s="92"/>
      <c r="ABB11" s="92"/>
      <c r="ABC11" s="92"/>
      <c r="ABD11" s="92"/>
      <c r="ABE11" s="92"/>
      <c r="ABF11" s="92"/>
      <c r="ABG11" s="92"/>
      <c r="ABH11" s="92"/>
      <c r="ABI11" s="92"/>
      <c r="ABJ11" s="92"/>
      <c r="ABK11" s="92"/>
      <c r="ABL11" s="92"/>
      <c r="ABM11" s="92"/>
      <c r="ABN11" s="92"/>
      <c r="ABO11" s="92"/>
      <c r="ABP11" s="92"/>
      <c r="ABQ11" s="92"/>
      <c r="ABR11" s="92"/>
      <c r="ABS11" s="92"/>
      <c r="ABT11" s="92"/>
      <c r="ABU11" s="92"/>
      <c r="ABV11" s="92"/>
      <c r="ABW11" s="92"/>
      <c r="ABX11" s="92"/>
      <c r="ABY11" s="92"/>
      <c r="ABZ11" s="92"/>
      <c r="ACA11" s="92"/>
      <c r="ACB11" s="92"/>
      <c r="ACC11" s="92"/>
      <c r="ACD11" s="92"/>
      <c r="ACE11" s="92"/>
      <c r="ACF11" s="92"/>
      <c r="ACG11" s="92"/>
      <c r="ACH11" s="92"/>
      <c r="ACI11" s="92"/>
      <c r="ACJ11" s="92"/>
      <c r="ACK11" s="92"/>
      <c r="ACL11" s="92"/>
      <c r="ACM11" s="92"/>
      <c r="ACN11" s="92"/>
      <c r="ACO11" s="92"/>
      <c r="ACP11" s="92"/>
      <c r="ACQ11" s="92"/>
      <c r="ACR11" s="92"/>
      <c r="ACS11" s="92"/>
      <c r="ACT11" s="92"/>
      <c r="ACU11" s="92"/>
      <c r="ACV11" s="92"/>
      <c r="ACW11" s="92"/>
      <c r="ACX11" s="92"/>
      <c r="ACY11" s="92"/>
      <c r="ACZ11" s="92"/>
      <c r="ADA11" s="92"/>
      <c r="ADB11" s="92"/>
      <c r="ADC11" s="92"/>
      <c r="ADD11" s="92"/>
      <c r="ADE11" s="92"/>
      <c r="ADF11" s="92"/>
      <c r="ADG11" s="92"/>
      <c r="ADH11" s="92"/>
      <c r="ADI11" s="92"/>
      <c r="ADJ11" s="92"/>
      <c r="ADK11" s="92"/>
      <c r="ADL11" s="92"/>
      <c r="ADM11" s="92"/>
      <c r="ADN11" s="92"/>
      <c r="ADO11" s="92"/>
      <c r="ADP11" s="92"/>
      <c r="ADQ11" s="92"/>
      <c r="ADR11" s="92"/>
      <c r="ADS11" s="92"/>
      <c r="ADT11" s="92"/>
      <c r="ADU11" s="92"/>
      <c r="ADV11" s="92"/>
      <c r="ADW11" s="92"/>
      <c r="ADX11" s="92"/>
      <c r="ADY11" s="92"/>
      <c r="ADZ11" s="92"/>
      <c r="AEA11" s="92"/>
      <c r="AEB11" s="92"/>
      <c r="AEC11" s="92"/>
      <c r="AED11" s="92"/>
      <c r="AEE11" s="92"/>
      <c r="AEF11" s="92"/>
      <c r="AEG11" s="92"/>
      <c r="AEH11" s="92"/>
      <c r="AEI11" s="92"/>
      <c r="AEJ11" s="92"/>
      <c r="AEK11" s="92"/>
      <c r="AEL11" s="92"/>
      <c r="AEM11" s="92"/>
      <c r="AEN11" s="92"/>
      <c r="AEO11" s="92"/>
      <c r="AEP11" s="92"/>
      <c r="AEQ11" s="92"/>
      <c r="AER11" s="92"/>
      <c r="AES11" s="92"/>
      <c r="AET11" s="92"/>
      <c r="AEU11" s="92"/>
      <c r="AEV11" s="92"/>
      <c r="AEW11" s="92"/>
      <c r="AEX11" s="92"/>
      <c r="AEY11" s="92"/>
      <c r="AEZ11" s="92"/>
      <c r="AFA11" s="92"/>
      <c r="AFB11" s="92"/>
      <c r="AFC11" s="92"/>
      <c r="AFD11" s="92"/>
      <c r="AFE11" s="92"/>
      <c r="AFF11" s="92"/>
      <c r="AFG11" s="92"/>
      <c r="AFH11" s="92"/>
      <c r="AFI11" s="92"/>
      <c r="AFJ11" s="92"/>
      <c r="AFK11" s="92"/>
      <c r="AFL11" s="92"/>
      <c r="AFM11" s="92"/>
      <c r="AFN11" s="92"/>
      <c r="AFO11" s="92"/>
      <c r="AFP11" s="92"/>
      <c r="AFQ11" s="92"/>
      <c r="AFR11" s="92"/>
      <c r="AFS11" s="92"/>
      <c r="AFT11" s="92"/>
      <c r="AFU11" s="92"/>
      <c r="AFV11" s="92"/>
      <c r="AFW11" s="92"/>
      <c r="AFX11" s="92"/>
      <c r="AFY11" s="92"/>
      <c r="AFZ11" s="92"/>
      <c r="AGA11" s="92"/>
      <c r="AGB11" s="92"/>
      <c r="AGC11" s="92"/>
      <c r="AGD11" s="92"/>
      <c r="AGE11" s="92"/>
      <c r="AGF11" s="92"/>
      <c r="AGG11" s="92"/>
      <c r="AGH11" s="92"/>
      <c r="AGI11" s="92"/>
      <c r="AGJ11" s="92"/>
      <c r="AGK11" s="92"/>
      <c r="AGL11" s="92"/>
      <c r="AGM11" s="92"/>
    </row>
    <row r="12" spans="2:871" ht="30" customHeight="1" outlineLevel="1" x14ac:dyDescent="0.2">
      <c r="K12" s="92" t="s">
        <v>395</v>
      </c>
      <c r="FC12" s="263" t="s">
        <v>404</v>
      </c>
    </row>
    <row r="13" spans="2:871" s="243" customFormat="1" ht="30" hidden="1" customHeight="1" x14ac:dyDescent="0.2">
      <c r="B13" s="264">
        <f>SUBTOTAL(3,B11:B11)</f>
        <v>1</v>
      </c>
      <c r="C13" s="265" t="s">
        <v>396</v>
      </c>
      <c r="D13" s="266">
        <f>SUBTOTAL(3,D11:D11)</f>
        <v>1</v>
      </c>
      <c r="E13" s="266">
        <f>SUBTOTAL(3,E11:E11)</f>
        <v>1</v>
      </c>
      <c r="G13" s="266">
        <f>SUBTOTAL(3,G11:G11)</f>
        <v>0</v>
      </c>
      <c r="H13" s="267"/>
      <c r="J13" s="268"/>
      <c r="K13" s="264">
        <f>SUBTOTAL(3,K11:K11)</f>
        <v>1</v>
      </c>
      <c r="L13" s="268"/>
      <c r="M13" s="268"/>
      <c r="O13" s="264">
        <f t="shared" ref="O13:AM13" si="55">SUBTOTAL(9,O11:O11)</f>
        <v>0</v>
      </c>
      <c r="P13" s="264">
        <f t="shared" si="55"/>
        <v>0</v>
      </c>
      <c r="Q13" s="264">
        <f t="shared" si="55"/>
        <v>0</v>
      </c>
      <c r="R13" s="264">
        <f t="shared" si="55"/>
        <v>0</v>
      </c>
      <c r="S13" s="264">
        <f t="shared" si="55"/>
        <v>0</v>
      </c>
      <c r="T13" s="264">
        <f t="shared" si="55"/>
        <v>0</v>
      </c>
      <c r="U13" s="264">
        <f t="shared" si="55"/>
        <v>0</v>
      </c>
      <c r="V13" s="264">
        <f t="shared" si="55"/>
        <v>0</v>
      </c>
      <c r="W13" s="264">
        <f t="shared" si="55"/>
        <v>0</v>
      </c>
      <c r="X13" s="264">
        <f t="shared" si="55"/>
        <v>0</v>
      </c>
      <c r="Y13" s="264">
        <f t="shared" si="55"/>
        <v>0</v>
      </c>
      <c r="Z13" s="264">
        <f t="shared" si="55"/>
        <v>0</v>
      </c>
      <c r="AA13" s="264">
        <f t="shared" si="55"/>
        <v>0</v>
      </c>
      <c r="AB13" s="264">
        <f t="shared" si="55"/>
        <v>0</v>
      </c>
      <c r="AC13" s="264">
        <f t="shared" si="55"/>
        <v>0</v>
      </c>
      <c r="AD13" s="264">
        <f t="shared" si="55"/>
        <v>0</v>
      </c>
      <c r="AE13" s="264">
        <f t="shared" si="55"/>
        <v>0</v>
      </c>
      <c r="AF13" s="264">
        <f t="shared" si="55"/>
        <v>0</v>
      </c>
      <c r="AG13" s="264">
        <f t="shared" si="55"/>
        <v>0</v>
      </c>
      <c r="AH13" s="264">
        <f t="shared" si="55"/>
        <v>0</v>
      </c>
      <c r="AI13" s="264">
        <f t="shared" si="55"/>
        <v>0</v>
      </c>
      <c r="AJ13" s="264">
        <f t="shared" si="55"/>
        <v>0</v>
      </c>
      <c r="AK13" s="264">
        <f t="shared" si="55"/>
        <v>0</v>
      </c>
      <c r="AL13" s="264">
        <f t="shared" si="55"/>
        <v>0</v>
      </c>
      <c r="AM13" s="264">
        <f t="shared" si="55"/>
        <v>0</v>
      </c>
      <c r="AN13" s="264">
        <f t="shared" ref="AN13:AT13" si="56">SUBTOTAL(3,AN11:AN11)</f>
        <v>0</v>
      </c>
      <c r="AO13" s="264">
        <f t="shared" si="56"/>
        <v>0</v>
      </c>
      <c r="AP13" s="264">
        <f t="shared" si="56"/>
        <v>0</v>
      </c>
      <c r="AQ13" s="264">
        <f t="shared" si="56"/>
        <v>0</v>
      </c>
      <c r="AR13" s="264">
        <f t="shared" si="56"/>
        <v>0</v>
      </c>
      <c r="AS13" s="264">
        <f t="shared" si="56"/>
        <v>0</v>
      </c>
      <c r="AT13" s="264">
        <f t="shared" si="56"/>
        <v>0</v>
      </c>
      <c r="AU13" s="264">
        <f>SUBTOTAL(9,AU11:AU11)</f>
        <v>0</v>
      </c>
      <c r="AV13" s="264">
        <f>SUBTOTAL(9,AV11:AV11)</f>
        <v>0</v>
      </c>
      <c r="AW13" s="264">
        <f>SUBTOTAL(3,AW11:AW11)</f>
        <v>0</v>
      </c>
      <c r="AX13" s="264">
        <f>SUBTOTAL(3,AX11:AX11)</f>
        <v>0</v>
      </c>
      <c r="AY13" s="264">
        <f>SUBTOTAL(3,AY11:AY11)</f>
        <v>0</v>
      </c>
      <c r="AZ13" s="264">
        <f t="shared" ref="AZ13:BN13" si="57">SUBTOTAL(9,AZ11:AZ11)</f>
        <v>0</v>
      </c>
      <c r="BA13" s="264">
        <f t="shared" si="57"/>
        <v>0</v>
      </c>
      <c r="BB13" s="264">
        <f t="shared" si="57"/>
        <v>0</v>
      </c>
      <c r="BC13" s="264">
        <f t="shared" si="57"/>
        <v>0</v>
      </c>
      <c r="BD13" s="264">
        <f t="shared" si="57"/>
        <v>0</v>
      </c>
      <c r="BE13" s="264">
        <f t="shared" si="57"/>
        <v>0</v>
      </c>
      <c r="BF13" s="264">
        <f t="shared" si="57"/>
        <v>0</v>
      </c>
      <c r="BG13" s="264">
        <f t="shared" si="57"/>
        <v>0</v>
      </c>
      <c r="BH13" s="264">
        <f t="shared" si="57"/>
        <v>0</v>
      </c>
      <c r="BI13" s="264">
        <f t="shared" si="57"/>
        <v>0</v>
      </c>
      <c r="BJ13" s="264">
        <f t="shared" si="57"/>
        <v>0</v>
      </c>
      <c r="BK13" s="264">
        <f t="shared" si="57"/>
        <v>0</v>
      </c>
      <c r="BL13" s="264">
        <f t="shared" si="57"/>
        <v>0</v>
      </c>
      <c r="BM13" s="264">
        <f t="shared" si="57"/>
        <v>0</v>
      </c>
      <c r="BN13" s="264">
        <f t="shared" si="57"/>
        <v>0</v>
      </c>
      <c r="BO13" s="264">
        <f>SUBTOTAL(3,BO11:BO11)</f>
        <v>0</v>
      </c>
      <c r="BP13" s="264">
        <f>SUBTOTAL(3,BP11:BP11)</f>
        <v>0</v>
      </c>
      <c r="BQ13" s="264">
        <f>SUBTOTAL(3,BQ11:BQ11)</f>
        <v>0</v>
      </c>
      <c r="BR13" s="264">
        <f>SUBTOTAL(9,BR11:BR11)</f>
        <v>0</v>
      </c>
      <c r="BS13" s="264">
        <f>SUBTOTAL(3,BS11:BS11)</f>
        <v>0</v>
      </c>
      <c r="BT13" s="264">
        <f>SUBTOTAL(9,BT11:BT11)</f>
        <v>0</v>
      </c>
      <c r="BU13" s="267"/>
      <c r="BV13" s="267"/>
      <c r="BW13" s="267"/>
      <c r="BX13" s="267"/>
      <c r="BY13" s="267"/>
      <c r="BZ13" s="267"/>
      <c r="CA13" s="267"/>
      <c r="CB13" s="267"/>
      <c r="CC13" s="267"/>
      <c r="CD13" s="267"/>
      <c r="CE13" s="267"/>
      <c r="CF13" s="267"/>
      <c r="CG13" s="267"/>
      <c r="CH13" s="264">
        <f>SUBTOTAL(9,CH11:CH11)</f>
        <v>0</v>
      </c>
      <c r="CI13" s="264">
        <f>SUBTOTAL(3,CI11:CI11)</f>
        <v>0</v>
      </c>
      <c r="CK13" s="266">
        <f>SUBTOTAL(3,CK11:CK11)</f>
        <v>0</v>
      </c>
      <c r="CL13" s="264">
        <f>SUBTOTAL(9,CL11:CL11)</f>
        <v>0</v>
      </c>
      <c r="CM13" s="264">
        <f>SUBTOTAL(9,CM11:CM11)</f>
        <v>0</v>
      </c>
      <c r="CN13" s="268"/>
      <c r="CO13" s="267"/>
      <c r="CR13" s="267"/>
      <c r="CS13" s="267"/>
      <c r="CV13" s="264">
        <f>SUBTOTAL(3,CV11:CV11)</f>
        <v>0</v>
      </c>
      <c r="DB13" s="266">
        <f>SUBTOTAL(3,DB11:DB11)</f>
        <v>1</v>
      </c>
      <c r="DC13" s="264">
        <f>SUBTOTAL(9,DC11:DC11)</f>
        <v>0</v>
      </c>
      <c r="DD13" s="264">
        <f>SUBTOTAL(9,DD11:DD11)</f>
        <v>0</v>
      </c>
      <c r="DE13" s="264">
        <f>SUBTOTAL(3,DE11:DE11)</f>
        <v>0</v>
      </c>
      <c r="DF13" s="264">
        <f>SUBTOTAL(9,DF11:DF11)</f>
        <v>0</v>
      </c>
      <c r="DG13" s="264">
        <f>SUBTOTAL(9,DG11:DG11)</f>
        <v>0</v>
      </c>
      <c r="DH13" s="264">
        <f>SUBTOTAL(9,DH11:DH11)</f>
        <v>0</v>
      </c>
      <c r="DI13" s="264">
        <f>SUBTOTAL(9,DI11:DI11)</f>
        <v>0</v>
      </c>
      <c r="DJ13" s="264">
        <f>SUBTOTAL(3,DJ11:DJ11)</f>
        <v>0</v>
      </c>
      <c r="DK13" s="264">
        <f>SUBTOTAL(9,DK11:DK11)</f>
        <v>0</v>
      </c>
      <c r="DL13" s="264">
        <f>SUBTOTAL(9,DL11:DL11)</f>
        <v>0</v>
      </c>
      <c r="DM13" s="264">
        <f>SUBTOTAL(9,DM11:DM11)</f>
        <v>0</v>
      </c>
      <c r="DN13" s="264">
        <f>SUBTOTAL(9,DN11:DN11)</f>
        <v>0</v>
      </c>
      <c r="DO13" s="264">
        <f>SUBTOTAL(3,DO11:DO11)</f>
        <v>0</v>
      </c>
      <c r="DP13" s="264">
        <f t="shared" ref="DP13:DV13" si="58">SUBTOTAL(9,DP11:DP11)</f>
        <v>0</v>
      </c>
      <c r="DQ13" s="264">
        <f t="shared" si="58"/>
        <v>0</v>
      </c>
      <c r="DR13" s="264">
        <f t="shared" si="58"/>
        <v>0</v>
      </c>
      <c r="DS13" s="264">
        <f t="shared" si="58"/>
        <v>0</v>
      </c>
      <c r="DT13" s="264">
        <f t="shared" si="58"/>
        <v>0</v>
      </c>
      <c r="DU13" s="264">
        <f t="shared" si="58"/>
        <v>0</v>
      </c>
      <c r="DV13" s="264">
        <f t="shared" si="58"/>
        <v>0</v>
      </c>
      <c r="DW13" s="264">
        <f>SUBTOTAL(3,DW11:DW11)</f>
        <v>0</v>
      </c>
      <c r="DX13" s="264">
        <f t="shared" ref="DX13:EK13" si="59">SUBTOTAL(9,DX11:DX11)</f>
        <v>0</v>
      </c>
      <c r="DY13" s="264">
        <f t="shared" si="59"/>
        <v>0</v>
      </c>
      <c r="DZ13" s="264">
        <f t="shared" si="59"/>
        <v>0</v>
      </c>
      <c r="EA13" s="264">
        <f t="shared" si="59"/>
        <v>0</v>
      </c>
      <c r="EB13" s="264">
        <f t="shared" si="59"/>
        <v>0</v>
      </c>
      <c r="EC13" s="264">
        <f t="shared" si="59"/>
        <v>0</v>
      </c>
      <c r="ED13" s="264">
        <f t="shared" si="59"/>
        <v>0</v>
      </c>
      <c r="EE13" s="264">
        <f t="shared" si="59"/>
        <v>0</v>
      </c>
      <c r="EF13" s="264">
        <f t="shared" si="59"/>
        <v>0</v>
      </c>
      <c r="EG13" s="264">
        <f t="shared" si="59"/>
        <v>0</v>
      </c>
      <c r="EH13" s="264">
        <f t="shared" si="59"/>
        <v>0</v>
      </c>
      <c r="EI13" s="264">
        <f t="shared" si="59"/>
        <v>0</v>
      </c>
      <c r="EJ13" s="264">
        <f t="shared" si="59"/>
        <v>0</v>
      </c>
      <c r="EK13" s="264">
        <f t="shared" si="59"/>
        <v>0</v>
      </c>
      <c r="EL13" s="264">
        <f t="shared" ref="EL13:ER13" si="60">SUBTOTAL(3,EL11:EL11)</f>
        <v>0</v>
      </c>
      <c r="EM13" s="264">
        <f t="shared" si="60"/>
        <v>0</v>
      </c>
      <c r="EN13" s="264">
        <f t="shared" si="60"/>
        <v>0</v>
      </c>
      <c r="EO13" s="264">
        <f t="shared" si="60"/>
        <v>0</v>
      </c>
      <c r="EP13" s="264">
        <f t="shared" si="60"/>
        <v>0</v>
      </c>
      <c r="EQ13" s="264">
        <f t="shared" si="60"/>
        <v>0</v>
      </c>
      <c r="ER13" s="264">
        <f t="shared" si="60"/>
        <v>0</v>
      </c>
      <c r="ES13" s="264">
        <f>SUBTOTAL(9,ES11:ES11)</f>
        <v>0</v>
      </c>
      <c r="ET13" s="264">
        <f>SUBTOTAL(9,ET11:ET11)</f>
        <v>0</v>
      </c>
      <c r="EU13" s="264">
        <f>SUBTOTAL(9,EU11:EU11)</f>
        <v>0</v>
      </c>
      <c r="EV13" s="264">
        <f>SUBTOTAL(3,EV11:EV11)</f>
        <v>0</v>
      </c>
      <c r="EW13" s="264">
        <f>SUBTOTAL(3,EW11:EW11)</f>
        <v>0</v>
      </c>
      <c r="EX13" s="264">
        <f>SUBTOTAL(3,EX11:EX11)</f>
        <v>0</v>
      </c>
      <c r="EY13" s="264">
        <f>SUBTOTAL(3,EY11:EY11)</f>
        <v>0</v>
      </c>
      <c r="EZ13" s="264">
        <f>SUBTOTAL(3,EZ11:EZ11)</f>
        <v>0</v>
      </c>
      <c r="FA13" s="264">
        <f>SUBTOTAL(9,FA11:FA11)</f>
        <v>0</v>
      </c>
      <c r="FB13" s="264">
        <f>SUBTOTAL(9,FB11:FB11)</f>
        <v>0</v>
      </c>
      <c r="FC13" s="264">
        <f>SUBTOTAL(9,FC11:FC11)</f>
        <v>0</v>
      </c>
      <c r="FD13" s="264">
        <f>SUBTOTAL(9,FD11:FD11)</f>
        <v>0</v>
      </c>
      <c r="FE13" s="264">
        <f>SUBTOTAL(3,FE11:FE11)</f>
        <v>0</v>
      </c>
      <c r="FF13" s="264">
        <f>SUBTOTAL(9,FF11:FF11)</f>
        <v>0</v>
      </c>
      <c r="FG13" s="264">
        <f>SUBTOTAL(3,FG11:FG11)</f>
        <v>0</v>
      </c>
      <c r="FH13" s="264">
        <f t="shared" ref="FH13:FU13" si="61">SUBTOTAL(9,FH11:FH11)</f>
        <v>0</v>
      </c>
      <c r="FI13" s="264">
        <f t="shared" si="61"/>
        <v>0</v>
      </c>
      <c r="FJ13" s="264">
        <f t="shared" si="61"/>
        <v>0</v>
      </c>
      <c r="FK13" s="264">
        <f t="shared" si="61"/>
        <v>0</v>
      </c>
      <c r="FL13" s="264">
        <f t="shared" si="61"/>
        <v>0</v>
      </c>
      <c r="FM13" s="264">
        <f t="shared" si="61"/>
        <v>0</v>
      </c>
      <c r="FN13" s="264">
        <f t="shared" si="61"/>
        <v>0</v>
      </c>
      <c r="FO13" s="264">
        <f t="shared" si="61"/>
        <v>0</v>
      </c>
      <c r="FP13" s="264">
        <f t="shared" si="61"/>
        <v>0</v>
      </c>
      <c r="FQ13" s="264">
        <f t="shared" si="61"/>
        <v>0</v>
      </c>
      <c r="FR13" s="264">
        <f t="shared" si="61"/>
        <v>0</v>
      </c>
      <c r="FS13" s="264">
        <f t="shared" si="61"/>
        <v>0</v>
      </c>
      <c r="FT13" s="264">
        <f t="shared" si="61"/>
        <v>0</v>
      </c>
      <c r="FU13" s="264">
        <f t="shared" si="61"/>
        <v>0</v>
      </c>
      <c r="FV13" s="264">
        <f>SUBTOTAL(3,FV11:FV11)</f>
        <v>1</v>
      </c>
      <c r="FW13" s="264">
        <f>SUBTOTAL(3,FW11:FW11)</f>
        <v>1</v>
      </c>
      <c r="FX13" s="264">
        <f>SUBTOTAL(3,FX11:FX11)</f>
        <v>1</v>
      </c>
      <c r="FY13" s="264">
        <f>SUBTOTAL(9,FY11:FY11)</f>
        <v>0</v>
      </c>
      <c r="FZ13" s="264">
        <f>SUBTOTAL(9,FZ11:FZ11)</f>
        <v>0</v>
      </c>
      <c r="GA13" s="264">
        <f>SUBTOTAL(3,GA11:GA11)</f>
        <v>1</v>
      </c>
      <c r="GB13" s="264">
        <f>SUBTOTAL(3,GB11:GB11)</f>
        <v>0</v>
      </c>
      <c r="GC13" s="264">
        <f>SUBTOTAL(9,GC11:GC11)</f>
        <v>0</v>
      </c>
      <c r="GD13" s="264">
        <f>SUBTOTAL(9,GD11:GD11)</f>
        <v>0</v>
      </c>
      <c r="GF13" s="267"/>
      <c r="GG13" s="267"/>
      <c r="GH13" s="267"/>
      <c r="GI13" s="264">
        <f>SUBTOTAL(9,GI11:GI11)</f>
        <v>0</v>
      </c>
      <c r="GJ13" s="264">
        <f>SUBTOTAL(9,GJ11:GJ11)</f>
        <v>0</v>
      </c>
      <c r="GK13" s="264">
        <f>SUBTOTAL(9,GK11:GK11)</f>
        <v>0</v>
      </c>
    </row>
    <row r="14" spans="2:871" ht="30" customHeight="1" x14ac:dyDescent="0.2"/>
    <row r="15" spans="2:871" ht="30" customHeight="1" x14ac:dyDescent="0.2"/>
    <row r="16" spans="2:87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8">
    <mergeCell ref="X4:Z4"/>
    <mergeCell ref="AB4:AD4"/>
    <mergeCell ref="DR4:DT4"/>
    <mergeCell ref="DU4:DX4"/>
    <mergeCell ref="BU5:BZ5"/>
    <mergeCell ref="CA5:CF5"/>
    <mergeCell ref="AZ3:AZ5"/>
    <mergeCell ref="CX3:CZ4"/>
  </mergeCells>
  <phoneticPr fontId="1"/>
  <conditionalFormatting sqref="O6:AZ11">
    <cfRule type="expression" dxfId="2" priority="1">
      <formula>($D6="改修")</formula>
    </cfRule>
  </conditionalFormatting>
  <conditionalFormatting sqref="BA6:BT11 FC6:GD11">
    <cfRule type="expression" dxfId="1" priority="7">
      <formula>OR($D6="新築",$D6="登録")</formula>
    </cfRule>
  </conditionalFormatting>
  <conditionalFormatting sqref="DC6:FB11">
    <cfRule type="expression" dxfId="0" priority="2">
      <formula>OR($D6="改修",$D6="登録")</formula>
    </cfRule>
  </conditionalFormatting>
  <dataValidations xWindow="830" yWindow="909" count="59">
    <dataValidation type="whole" operator="greaterThanOrEqual" allowBlank="1" showInputMessage="1" showErrorMessage="1" error="３未満の値は入力しないでください。_x000a_（建具は見付３㎡以上が補助対象です）" prompt="FU列の木製建具事業者名も選択してください。" sqref="FX6:FX10" xr:uid="{00000000-0002-0000-0300-00000000000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W6:FW10" xr:uid="{00000000-0002-0000-0300-000001000000}">
      <formula1>7</formula1>
    </dataValidation>
    <dataValidation allowBlank="1" showErrorMessage="1" sqref="GB6:GB11" xr:uid="{00000000-0002-0000-0300-000002000000}"/>
    <dataValidation operator="greaterThanOrEqual" allowBlank="1" showInputMessage="1" showErrorMessage="1" error="整数値で入力" sqref="FG6:FG10" xr:uid="{00000000-0002-0000-0300-000003000000}"/>
    <dataValidation allowBlank="1" showInputMessage="1" showErrorMessage="1" error="0.3以上が補助対象、実木材使用量以下の数値を入力" sqref="FE6:FE10" xr:uid="{00000000-0002-0000-0300-000004000000}"/>
    <dataValidation type="list" allowBlank="1" showInputMessage="1" showErrorMessage="1" prompt="EO列に畳事業者名を入力してください。" sqref="EQ6:EQ10" xr:uid="{00000000-0002-0000-0300-000005000000}">
      <formula1>"1"</formula1>
    </dataValidation>
    <dataValidation type="list" allowBlank="1" showInputMessage="1" showErrorMessage="1" prompt="EN列の木製建具事業者名も入力してください。" sqref="EP6:EP10" xr:uid="{00000000-0002-0000-0300-000006000000}">
      <formula1>"1,2"</formula1>
    </dataValidation>
    <dataValidation type="list" allowBlank="1" showInputMessage="1" showErrorMessage="1" prompt="EM列の左官材料の種類も選択してください。" sqref="EN6:EN10" xr:uid="{00000000-0002-0000-0300-000007000000}">
      <formula1>"1,2"</formula1>
    </dataValidation>
    <dataValidation type="list" allowBlank="1" showInputMessage="1" showErrorMessage="1" prompt="EL列の瓦の種類も選択してください。" sqref="EO6:EO10" xr:uid="{00000000-0002-0000-0300-000008000000}">
      <formula1>"2"</formula1>
    </dataValidation>
    <dataValidation type="list" allowBlank="1" showErrorMessage="1" sqref="EW6:EX11 GA6:GA10" xr:uid="{00000000-0002-0000-0300-000009000000}">
      <formula1>"モルタル塗,漆喰塗,土壁塗,そとん壁,じゅらく塗,珪藻土塗,その他"</formula1>
    </dataValidation>
    <dataValidation type="list" allowBlank="1" showErrorMessage="1" sqref="EV6:EV10" xr:uid="{00000000-0002-0000-0300-00000A000000}">
      <formula1>"平板瓦,和瓦,S瓦"</formula1>
    </dataValidation>
    <dataValidation operator="greaterThanOrEqual" allowBlank="1" showInputMessage="1" showErrorMessage="1" error="県産材の実使用量より大きな値は入力しないでください。" sqref="DW6:DW10" xr:uid="{00000000-0002-0000-0300-00000B000000}"/>
    <dataValidation operator="lessThanOrEqual" allowBlank="1" showInputMessage="1" showErrorMessage="1" error="県産材の実使用量より大きな値は入力しないでください。" sqref="DO6:DO10" xr:uid="{00000000-0002-0000-0300-00000C000000}"/>
    <dataValidation operator="lessThanOrEqual" allowBlank="1" showInputMessage="1" showErrorMessage="1" error="県産材の実使用量より大きな値は入力しないでください（整数値入力）。" sqref="DJ6:DJ10 S11 V11 AC11 Y11 AF11:AG11 AJ11:AK11 AN11:AT11" xr:uid="{00000000-0002-0000-0300-00000D000000}"/>
    <dataValidation allowBlank="1" showInputMessage="1" showErrorMessage="1" error="実木材使用量より大きな値は入力しないでください。補助対象は10m3以上です（整数値で入力）。" sqref="DE6:DE10 P11" xr:uid="{00000000-0002-0000-0300-00000E00000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xr:uid="{00000000-0002-0000-0300-00000F000000}">
      <formula1>7</formula1>
    </dataValidation>
    <dataValidation type="list" allowBlank="1" showInputMessage="1" showErrorMessage="1" prompt="AX列の左官材料の種類も選択してください。" sqref="AP6:AP10" xr:uid="{00000000-0002-0000-0300-000010000000}">
      <formula1>"1,2"</formula1>
    </dataValidation>
    <dataValidation type="list" allowBlank="1" showInputMessage="1" showErrorMessage="1" prompt="AW列の瓦の種類も選択してください。" sqref="AQ6:AQ10" xr:uid="{00000000-0002-0000-0300-000011000000}">
      <formula1>"2"</formula1>
    </dataValidation>
    <dataValidation allowBlank="1" showInputMessage="1" showErrorMessage="1" prompt="自動計算" sqref="E6:E11 EI6:EK11 FS6:FU11 ES6:EU11 FH6:FJ11 DF6:DH11 ED6:EF11 DX6:EA11 FA6:FB11 GC6:GD11 FM6:FO11 AD6:AE11 B6:B11 BH6:BI11 Q6:R11 GI6:GK11 T6:U11 AU6:AV11 AL6:AM11 BD6:BE11 BM6:BN11 BR6:BR11 BT6:BT11 CH6:CH11 AH6:AI11 AZ6:AZ11 Z6:AB11 W6:X11 DK6:DM11 DP6:DR11 DT6:DU11 FY6:FZ11" xr:uid="{00000000-0002-0000-0300-000012000000}"/>
    <dataValidation type="list" allowBlank="1" showInputMessage="1" showErrorMessage="1" sqref="BS6:BS11 AX6:AY11" xr:uid="{00000000-0002-0000-0300-000013000000}">
      <formula1>"モルタル塗,漆喰塗,土壁塗,そとん壁,じゅらく塗,珪藻土塗,その他"</formula1>
    </dataValidation>
    <dataValidation type="list" allowBlank="1" showInputMessage="1" showErrorMessage="1" sqref="AW6:AW11" xr:uid="{00000000-0002-0000-0300-00001400000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300-000015000000}">
      <formula1>"新築,改修,登録"</formula1>
    </dataValidation>
    <dataValidation type="list" allowBlank="1" showInputMessage="1" showErrorMessage="1" sqref="CK6:CK11" xr:uid="{00000000-0002-0000-0300-00001600000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xr:uid="{00000000-0002-0000-0300-000017000000}">
      <formula1>3</formula1>
    </dataValidation>
    <dataValidation type="whole" operator="greaterThanOrEqual" allowBlank="1" showInputMessage="1" showErrorMessage="1" error="７未満の値は入力しないでください。（補助対象となるのは最低７平方メートル以上です）" sqref="BO6:BO11 FV6:FV10" xr:uid="{00000000-0002-0000-0300-000018000000}">
      <formula1>7</formula1>
    </dataValidation>
    <dataValidation type="whole" operator="greaterThanOrEqual" allowBlank="1" showInputMessage="1" showErrorMessage="1" error="整数値で入力" sqref="BC6:BC11 FF6:FF10" xr:uid="{00000000-0002-0000-0300-000019000000}">
      <formula1>0</formula1>
    </dataValidation>
    <dataValidation type="list" allowBlank="1" showInputMessage="1" showErrorMessage="1" sqref="AO6:AO10 EM6:EM10" xr:uid="{00000000-0002-0000-0300-00001A000000}">
      <formula1>"2"</formula1>
    </dataValidation>
    <dataValidation type="list" allowBlank="1" showInputMessage="1" showErrorMessage="1" sqref="AR6:AR10 AT6:AT10 ER6:ER10" xr:uid="{00000000-0002-0000-0300-00001B000000}">
      <formula1>"1,2"</formula1>
    </dataValidation>
    <dataValidation type="list" allowBlank="1" showInputMessage="1" showErrorMessage="1" sqref="AN6:AN10 EL6:EL10" xr:uid="{00000000-0002-0000-0300-00001C000000}">
      <formula1>"4"</formula1>
    </dataValidation>
    <dataValidation type="whole" operator="greaterThanOrEqual" allowBlank="1" showInputMessage="1" showErrorMessage="1" error="10以上の整数値を入力してください。" sqref="O6:O10 DC6:DC10" xr:uid="{00000000-0002-0000-0300-00001D000000}">
      <formula1>10</formula1>
    </dataValidation>
    <dataValidation type="whole" operator="greaterThanOrEqual" allowBlank="1" showInputMessage="1" showErrorMessage="1" error="県産材の実使用量より大きな値は入力しないでください。" sqref="AC6:AC10 DV6:DV10" xr:uid="{00000000-0002-0000-0300-00001E000000}">
      <formula1>0</formula1>
    </dataValidation>
    <dataValidation type="list" allowBlank="1" showInputMessage="1" showErrorMessage="1" sqref="M6:M10" xr:uid="{00000000-0002-0000-0300-00001F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F6:F11 DB6:DB10 G6:G10" xr:uid="{00000000-0002-0000-0300-000020000000}">
      <formula1>"債,支→債,債→支"</formula1>
    </dataValidation>
    <dataValidation type="date" operator="greaterThanOrEqual" allowBlank="1" showInputMessage="1" showErrorMessage="1" error="日付以外の内容は入力できません" sqref="CF10 BV10 BW6:BW10 BX10 BY6:BY10 BZ10 CB10 CC6:CC10 CD10 CE6:CE10 BU6:BU10" xr:uid="{00000000-0002-0000-0300-000021000000}">
      <formula1>1</formula1>
    </dataValidation>
    <dataValidation type="list" allowBlank="1" showInputMessage="1" showErrorMessage="1" sqref="CN6:CN10" xr:uid="{00000000-0002-0000-0300-000022000000}">
      <formula1>"要,不要"</formula1>
    </dataValidation>
    <dataValidation type="decimal" operator="greaterThanOrEqual" allowBlank="1" showInputMessage="1" showErrorMessage="1" error="数値以外は入力できません" sqref="CL6:CM10" xr:uid="{00000000-0002-0000-0300-000023000000}">
      <formula1>0</formula1>
    </dataValidation>
    <dataValidation type="date" operator="greaterThanOrEqual" allowBlank="1" showInputMessage="1" showErrorMessage="1" error="日付以外は入力できません" sqref="CO6:CO10 GF6:GH11 CR6:CS11" xr:uid="{00000000-0002-0000-0300-000024000000}">
      <formula1>1</formula1>
    </dataValidation>
    <dataValidation type="date" operator="greaterThanOrEqual" allowBlank="1" showInputMessage="1" showErrorMessage="1" error="日付以外の値は入力できません" sqref="H6:H11" xr:uid="{00000000-0002-0000-0300-000025000000}">
      <formula1>1</formula1>
    </dataValidation>
    <dataValidation type="list" allowBlank="1" showInputMessage="1" showErrorMessage="1" sqref="GE6:GE11" xr:uid="{00000000-0002-0000-0300-000026000000}">
      <formula1>"実績,取下,取消"</formula1>
    </dataValidation>
    <dataValidation type="list" allowBlank="1" showInputMessage="1" showErrorMessage="1" sqref="CQ6:CQ11" xr:uid="{00000000-0002-0000-0300-000027000000}">
      <formula1>"若年子育て,三世代近居,三世代同居"</formula1>
    </dataValidation>
    <dataValidation type="list" allowBlank="1" showInputMessage="1" showErrorMessage="1" sqref="EB6:EC10 FK6:FL10 AS6:AS10 EG6:EH10 AJ6:AK10 BF6:BG11 BJ6:BL11 AF6:AG10 FP6:FR10" xr:uid="{00000000-0002-0000-0300-000028000000}">
      <formula1>"1"</formula1>
    </dataValidation>
    <dataValidation type="decimal" operator="greaterThanOrEqual" allowBlank="1" showInputMessage="1" showErrorMessage="1" sqref="BA6:BA11 FC6:FC10" xr:uid="{00000000-0002-0000-0300-000029000000}">
      <formula1>0</formula1>
    </dataValidation>
    <dataValidation type="whole" operator="lessThanOrEqual" allowBlank="1" showInputMessage="1" showErrorMessage="1" error="県産材の実使用量より大きな値は入力しないでください。" sqref="DN6:DN10" xr:uid="{00000000-0002-0000-0300-00002A000000}">
      <formula1>DI6</formula1>
    </dataValidation>
    <dataValidation imeMode="halfAlpha" allowBlank="1" showInputMessage="1" showErrorMessage="1" sqref="L1:L1048576 J1:J1048576" xr:uid="{00000000-0002-0000-0300-00002B000000}"/>
    <dataValidation type="whole" allowBlank="1" showInputMessage="1" showErrorMessage="1" error="実木材使用量より大きな値は入力しないでください。補助対象は10m3以上です（整数値で入力）。" sqref="P6:P10 DD6:DD10" xr:uid="{00000000-0002-0000-0300-00002C000000}">
      <formula1>10</formula1>
      <formula2>O6</formula2>
    </dataValidation>
    <dataValidation type="decimal" operator="lessThanOrEqual" allowBlank="1" showInputMessage="1" showErrorMessage="1" error="県産材の実使用量より大きな値は入力しないでください。" sqref="DS6:DS10" xr:uid="{00000000-0002-0000-0300-00002D000000}">
      <formula1>DI6</formula1>
    </dataValidation>
    <dataValidation type="whole" operator="lessThanOrEqual" allowBlank="1" showInputMessage="1" showErrorMessage="1" error="県産材の実使用量より大きな値は入力しないでください（整数値入力）。" sqref="DI6:DI10" xr:uid="{00000000-0002-0000-0300-00002E000000}">
      <formula1>DD6</formula1>
    </dataValidation>
    <dataValidation type="decimal" allowBlank="1" showInputMessage="1" showErrorMessage="1" error="0.3以上が補助対象、実木材使用量以下の数値を入力" sqref="BB6:BB11 FD6:FD10" xr:uid="{00000000-0002-0000-0300-00002F000000}">
      <formula1>0.3</formula1>
      <formula2>BA6</formula2>
    </dataValidation>
    <dataValidation type="whole" operator="lessThanOrEqual" allowBlank="1" showInputMessage="1" showErrorMessage="1" error="県産材の実使用量より大きな値は入力しないでください（整数値入力）。" sqref="S6:S10" xr:uid="{00000000-0002-0000-0300-000030000000}">
      <formula1>P6</formula1>
    </dataValidation>
    <dataValidation type="whole" operator="lessThanOrEqual" allowBlank="1" showInputMessage="1" showErrorMessage="1" error="県産材の実使用量より大きな値は入力しないでください。" sqref="V6:V10" xr:uid="{00000000-0002-0000-0300-000031000000}">
      <formula1>S6</formula1>
    </dataValidation>
    <dataValidation type="date" operator="greaterThanOrEqual" allowBlank="1" showInputMessage="1" showErrorMessage="1" error="申請日より前の日付や、日付以外の内容は入力できません" sqref="CA6:CA10" xr:uid="{00000000-0002-0000-0300-000032000000}">
      <formula1>BU6</formula1>
    </dataValidation>
    <dataValidation type="date" operator="greaterThanOrEqual" allowBlank="1" showInputMessage="1" showErrorMessage="1" error="申請日より前の日付や、日付以外の内容は入力できません" sqref="CG6:CG10" xr:uid="{00000000-0002-0000-0300-000033000000}">
      <formula1>H6</formula1>
    </dataValidation>
    <dataValidation type="decimal" operator="lessThanOrEqual" allowBlank="1" showInputMessage="1" showErrorMessage="1" error="県産材の実使用量より大きな値は入力しないでください。" sqref="Y6:Y10" xr:uid="{00000000-0002-0000-0300-000034000000}">
      <formula1>S6</formula1>
    </dataValidation>
    <dataValidation operator="greaterThanOrEqual" allowBlank="1" showInputMessage="1" showErrorMessage="1" error="10以上の整数値を入力してください。" sqref="O11 DC11:DE11 DI11:DJ11 DN11:DO11 DV11:DW11 DS11 EB11:EC11 EG11:EH11 EL11:ER11 EY11:EZ11 EV11" xr:uid="{00000000-0002-0000-0300-000035000000}"/>
    <dataValidation operator="greaterThanOrEqual" allowBlank="1" showInputMessage="1" showErrorMessage="1" error="日付以外の内容は入力できません" sqref="BZ6:BZ9 BV6:BV9 BX6:BX9 CD6:CD9 CF6:CF9 CB6:CB9 BU11:CG11" xr:uid="{00000000-0002-0000-0300-000036000000}"/>
    <dataValidation operator="greaterThanOrEqual" allowBlank="1" showInputMessage="1" showErrorMessage="1" error="数値以外は入力できません" sqref="CL11:CP11 CT11:CZ11" xr:uid="{00000000-0002-0000-0300-000037000000}"/>
    <dataValidation type="decimal" operator="greaterThanOrEqual" allowBlank="1" showInputMessage="1" sqref="FC11" xr:uid="{00000000-0002-0000-0300-000038000000}">
      <formula1>0</formula1>
    </dataValidation>
    <dataValidation allowBlank="1" showInputMessage="1" sqref="FD11:FG11 GA11 FV11:FX11 FP11:FR11 FK11:FL11" xr:uid="{00000000-0002-0000-0300-000039000000}"/>
    <dataValidation type="list" allowBlank="1" showInputMessage="1" showErrorMessage="1" sqref="G11 DB11" xr:uid="{00000000-0002-0000-0300-00003A000000}">
      <formula1>"〇"</formula1>
    </dataValidation>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view="pageBreakPreview" zoomScaleNormal="100" zoomScaleSheetLayoutView="100" workbookViewId="0">
      <selection activeCell="B15" sqref="B15"/>
    </sheetView>
  </sheetViews>
  <sheetFormatPr defaultColWidth="9" defaultRowHeight="13.2" x14ac:dyDescent="0.2"/>
  <cols>
    <col min="1" max="1" width="4.77734375" style="1" customWidth="1"/>
    <col min="2" max="4" width="24.6640625" style="1" customWidth="1"/>
    <col min="5" max="16384" width="9" style="1"/>
  </cols>
  <sheetData>
    <row r="1" spans="1:6" x14ac:dyDescent="0.2">
      <c r="A1" s="1" t="s">
        <v>129</v>
      </c>
    </row>
    <row r="5" spans="1:6" ht="14.4" x14ac:dyDescent="0.2">
      <c r="A5" s="362" t="s">
        <v>103</v>
      </c>
      <c r="B5" s="362"/>
      <c r="C5" s="362"/>
      <c r="D5" s="362"/>
      <c r="E5" s="362"/>
    </row>
    <row r="7" spans="1:6" ht="44.25" customHeight="1" x14ac:dyDescent="0.2">
      <c r="C7" s="5" t="s">
        <v>33</v>
      </c>
      <c r="D7" s="318" t="str">
        <f>IF(【様式第６号の２】事業報告書兼チェックシート!N11="","",【様式第６号の２】事業報告書兼チェックシート!N11)</f>
        <v/>
      </c>
      <c r="E7" s="318"/>
    </row>
    <row r="8" spans="1:6" x14ac:dyDescent="0.2">
      <c r="C8" s="5" t="s">
        <v>34</v>
      </c>
      <c r="D8" s="406" t="str">
        <f>IF(【様式第６号の２】事業報告書兼チェックシート!N12="","",【様式第６号の２】事業報告書兼チェックシート!N12)</f>
        <v/>
      </c>
      <c r="E8" s="406"/>
    </row>
    <row r="10" spans="1:6" x14ac:dyDescent="0.2">
      <c r="A10" s="1" t="s">
        <v>28</v>
      </c>
    </row>
    <row r="11" spans="1:6" x14ac:dyDescent="0.2">
      <c r="A11" s="1" t="s">
        <v>29</v>
      </c>
    </row>
    <row r="13" spans="1:6" x14ac:dyDescent="0.2">
      <c r="B13" s="80" t="s">
        <v>27</v>
      </c>
      <c r="C13" s="80" t="s">
        <v>5</v>
      </c>
      <c r="D13" s="80" t="s">
        <v>32</v>
      </c>
    </row>
    <row r="14" spans="1:6" ht="28.2" customHeight="1" x14ac:dyDescent="0.2">
      <c r="A14" s="42" t="s">
        <v>31</v>
      </c>
      <c r="B14" s="80" t="s">
        <v>208</v>
      </c>
      <c r="C14" s="88" t="s">
        <v>209</v>
      </c>
      <c r="D14" s="87" t="s">
        <v>210</v>
      </c>
    </row>
    <row r="15" spans="1:6" ht="29.7" customHeight="1" x14ac:dyDescent="0.2">
      <c r="A15" s="42" t="s">
        <v>31</v>
      </c>
      <c r="B15" s="46" t="s">
        <v>211</v>
      </c>
      <c r="C15" s="46" t="s">
        <v>212</v>
      </c>
      <c r="D15" s="46" t="s">
        <v>213</v>
      </c>
      <c r="F15" s="89"/>
    </row>
    <row r="16" spans="1:6" x14ac:dyDescent="0.2">
      <c r="B16" s="47"/>
      <c r="C16" s="47"/>
      <c r="D16" s="47"/>
    </row>
    <row r="17" spans="1:7" x14ac:dyDescent="0.2">
      <c r="B17" s="45" t="s">
        <v>27</v>
      </c>
      <c r="C17" s="80" t="s">
        <v>5</v>
      </c>
      <c r="D17" s="80" t="s">
        <v>19</v>
      </c>
    </row>
    <row r="18" spans="1:7" ht="36" customHeight="1" x14ac:dyDescent="0.2">
      <c r="B18" s="52"/>
      <c r="C18" s="52"/>
      <c r="D18" s="53"/>
    </row>
    <row r="19" spans="1:7" ht="36" customHeight="1" x14ac:dyDescent="0.2">
      <c r="B19" s="52"/>
      <c r="C19" s="52"/>
      <c r="D19" s="53"/>
    </row>
    <row r="20" spans="1:7" ht="36" customHeight="1" x14ac:dyDescent="0.2">
      <c r="B20" s="52"/>
      <c r="C20" s="52"/>
      <c r="D20" s="53"/>
    </row>
    <row r="21" spans="1:7" ht="36" customHeight="1" x14ac:dyDescent="0.2">
      <c r="B21" s="52"/>
      <c r="C21" s="52"/>
      <c r="D21" s="53"/>
      <c r="G21" s="1" t="s">
        <v>189</v>
      </c>
    </row>
    <row r="22" spans="1:7" ht="36" customHeight="1" x14ac:dyDescent="0.2">
      <c r="B22" s="52"/>
      <c r="C22" s="52"/>
      <c r="D22" s="53"/>
      <c r="G22" s="1" t="s">
        <v>190</v>
      </c>
    </row>
    <row r="23" spans="1:7" ht="36" customHeight="1" x14ac:dyDescent="0.2">
      <c r="B23" s="52"/>
      <c r="C23" s="52"/>
      <c r="D23" s="53"/>
      <c r="G23" s="1" t="s">
        <v>191</v>
      </c>
    </row>
    <row r="24" spans="1:7" ht="36" customHeight="1" x14ac:dyDescent="0.2">
      <c r="B24" s="52"/>
      <c r="C24" s="52"/>
      <c r="D24" s="53"/>
      <c r="G24" s="1" t="s">
        <v>192</v>
      </c>
    </row>
    <row r="26" spans="1:7" x14ac:dyDescent="0.2">
      <c r="B26" s="81"/>
      <c r="C26" s="81"/>
      <c r="D26" s="82"/>
      <c r="G26" s="1" t="s">
        <v>193</v>
      </c>
    </row>
    <row r="27" spans="1:7" x14ac:dyDescent="0.2">
      <c r="A27" s="1" t="s">
        <v>39</v>
      </c>
    </row>
    <row r="28" spans="1:7" x14ac:dyDescent="0.2">
      <c r="A28" s="48" t="s">
        <v>194</v>
      </c>
      <c r="B28" s="491" t="s">
        <v>38</v>
      </c>
      <c r="C28" s="491"/>
      <c r="D28" s="491"/>
      <c r="E28" s="491"/>
    </row>
    <row r="29" spans="1:7" x14ac:dyDescent="0.2">
      <c r="A29" s="49"/>
      <c r="B29" s="491"/>
      <c r="C29" s="491"/>
      <c r="D29" s="491"/>
      <c r="E29" s="491"/>
    </row>
    <row r="30" spans="1:7" x14ac:dyDescent="0.2">
      <c r="A30" s="48" t="s">
        <v>194</v>
      </c>
      <c r="B30" s="491" t="s">
        <v>40</v>
      </c>
      <c r="C30" s="491"/>
      <c r="D30" s="491"/>
      <c r="E30" s="491"/>
      <c r="G30" s="1" t="s">
        <v>195</v>
      </c>
    </row>
    <row r="31" spans="1:7" x14ac:dyDescent="0.2">
      <c r="A31" s="48"/>
      <c r="B31" s="491"/>
      <c r="C31" s="491"/>
      <c r="D31" s="491"/>
      <c r="E31" s="491"/>
      <c r="G31" s="1" t="s">
        <v>196</v>
      </c>
    </row>
    <row r="32" spans="1:7" x14ac:dyDescent="0.2">
      <c r="A32" s="48"/>
      <c r="B32" s="491"/>
      <c r="C32" s="491"/>
      <c r="D32" s="491"/>
      <c r="E32" s="491"/>
    </row>
    <row r="33" spans="1:5" x14ac:dyDescent="0.2">
      <c r="A33" s="49"/>
      <c r="B33" s="491"/>
      <c r="C33" s="491"/>
      <c r="D33" s="491"/>
      <c r="E33" s="491"/>
    </row>
  </sheetData>
  <sheetProtection algorithmName="SHA-512" hashValue="z6qWo62HVb8IQjoidYj6PcWB6EpLHP2EHvSauf69vnZsJOFGLXIRnBYpMbTEkc/jg8GCkTe+NT6d5ZyJhf8dVQ==" saltValue="f+e9JY+R3THtUBAkbUqg5w==" spinCount="100000" sheet="1" objects="1" scenarios="1"/>
  <mergeCells count="5">
    <mergeCell ref="B30:E33"/>
    <mergeCell ref="A5:E5"/>
    <mergeCell ref="D7:E7"/>
    <mergeCell ref="D8:E8"/>
    <mergeCell ref="B28:E29"/>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【様式第６号の２】事業報告書兼チェックシート</vt:lpstr>
      <vt:lpstr>【様式第６号の３】補助基準額等算定表</vt:lpstr>
      <vt:lpstr>【規則様式第３号】実績報告書鑑（住まいる）</vt:lpstr>
      <vt:lpstr>【規則様式第３号】実績報告書鑑（健康省エネ）</vt:lpstr>
      <vt:lpstr>要入力　交付決定状況入力シート(1)</vt:lpstr>
      <vt:lpstr>要入力　交付決定状況入力シート</vt:lpstr>
      <vt:lpstr>住まいる台帳コピー</vt:lpstr>
      <vt:lpstr>台帳コピー</vt:lpstr>
      <vt:lpstr>【様式第６号の２】（別紙）補助金併用一覧</vt:lpstr>
      <vt:lpstr>'【規則様式第３号】実績報告書鑑（健康省エネ）'!Print_Area</vt:lpstr>
      <vt:lpstr>'【規則様式第３号】実績報告書鑑（住まいる）'!Print_Area</vt:lpstr>
      <vt:lpstr>'【様式第６号の２】（別紙）補助金併用一覧'!Print_Area</vt:lpstr>
      <vt:lpstr>【様式第６号の２】事業報告書兼チェックシート!Print_Area</vt:lpstr>
      <vt:lpstr>【様式第６号の３】補助基準額等算定表!Print_Area</vt:lpstr>
      <vt:lpstr>'要入力　交付決定状況入力シート'!Print_Area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山澤 徹也</cp:lastModifiedBy>
  <cp:lastPrinted>2025-03-18T07:14:43Z</cp:lastPrinted>
  <dcterms:created xsi:type="dcterms:W3CDTF">2017-01-19T07:37:02Z</dcterms:created>
  <dcterms:modified xsi:type="dcterms:W3CDTF">2025-05-22T00:27:43Z</dcterms:modified>
</cp:coreProperties>
</file>